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fcpgovua-my.sharepoint.com/personal/vitalii_uliantsev_ndi_gov_ua/Documents/Робочий стіл/Programs/Progress_GIZ/Business Plan/"/>
    </mc:Choice>
  </mc:AlternateContent>
  <xr:revisionPtr revIDLastSave="57" documentId="8_{406A883E-0545-43D8-88CF-C2511199837E}" xr6:coauthVersionLast="47" xr6:coauthVersionMax="47" xr10:uidLastSave="{95448BEC-F34F-4301-9C4D-8E6900E25F64}"/>
  <bookViews>
    <workbookView xWindow="-120" yWindow="-120" windowWidth="29040" windowHeight="15720" tabRatio="621" firstSheet="4" activeTab="8" xr2:uid="{00000000-000D-0000-FFFF-FFFF00000000}"/>
  </bookViews>
  <sheets>
    <sheet name="00_Інструкція" sheetId="1" r:id="rId1"/>
    <sheet name="01_Господарство" sheetId="2" r:id="rId2"/>
    <sheet name="02_Опис_проєкту" sheetId="3" r:id="rId3"/>
    <sheet name="03_Кліматичний_ризик" sheetId="4" r:id="rId4"/>
    <sheet name="04_CAPEX" sheetId="5" r:id="rId5"/>
    <sheet name="05_Фінансування" sheetId="6" r:id="rId6"/>
    <sheet name="06_Порівняння" sheetId="7" r:id="rId7"/>
    <sheet name="07_Ризики" sheetId="8" r:id="rId8"/>
    <sheet name="08_Зелений_вплив" sheetId="9" r:id="rId9"/>
    <sheet name="09_Кредит" sheetId="10" state="hidden" r:id="rId10"/>
    <sheet name="10_Модель_5р" sheetId="11" state="hidden" r:id="rId11"/>
    <sheet name="11_KPI_Dashboard" sheetId="12" state="hidden" r:id="rId12"/>
    <sheet name="_Параметри" sheetId="13" state="hidden" r:id="rId13"/>
    <sheet name="_Довідники" sheetId="14" state="hidden" r:id="rId14"/>
  </sheets>
  <definedNames>
    <definedName name="APPLICANT_EMAIL">'01_Господарство'!$D$8</definedName>
    <definedName name="APPLICANT_ID">'01_Господарство'!$D$5</definedName>
    <definedName name="CASH_FLOWS_Y1_Y5">'10_Модель_5р'!$E$15:$I$15</definedName>
    <definedName name="CREDIT_AMOUNT">'05_Фінансування'!$B$8</definedName>
    <definedName name="CREDIT_RATE">_Параметри!$B$7</definedName>
    <definedName name="CREDIT_TERM_M">'05_Фінансування'!$B$9</definedName>
    <definedName name="DEBT_SERVICE_ANNUAL">'09_Кредит'!$B$11</definedName>
    <definedName name="DIRECT_COSTS_AFTER">'06_Порівняння'!$D$13</definedName>
    <definedName name="DIRECT_COSTS_BEFORE">'06_Порівняння'!$C$13</definedName>
    <definedName name="DISCOUNT_RATE">_Параметри!$B$8</definedName>
    <definedName name="EBITDA_Y1">'10_Модель_5р'!$E$7</definedName>
    <definedName name="EQUIPMENT_COST">'04_CAPEX'!$B$18</definedName>
    <definedName name="EUR_RATE">_Параметри!$B$4</definedName>
    <definedName name="FIXED_COSTS_AFTER">'06_Порівняння'!$D$14+'06_Порівняння'!$D$15</definedName>
    <definedName name="FIXED_COSTS_BEFORE">'06_Порівняння'!$C$14+'06_Порівняння'!$C$15</definedName>
    <definedName name="GRANT">'05_Фінансування'!$B$6</definedName>
    <definedName name="GRANT_RATE">_Параметри!$B$6</definedName>
    <definedName name="INCOME_PER_HA_AFTER">'06_Порівняння'!$D$30</definedName>
    <definedName name="INCOME_PER_HA_BEFORE">'06_Порівняння'!$C$30</definedName>
    <definedName name="INCOME_PER_HA_GAIN">'06_Порівняння'!$E$30</definedName>
    <definedName name="INFLATION">_Параметри!$B$11</definedName>
    <definedName name="INSURANCE_ANNUAL">'09_Кредит'!$B$10</definedName>
    <definedName name="INSURANCE_RATE">_Параметри!$B$9</definedName>
    <definedName name="INTEREST_ANNUAL">'09_Кредит'!$B$9</definedName>
    <definedName name="list_Activity">_Довідники!$B$4:$B$9</definedName>
    <definedName name="list_CheckMark">_Довідники!$J$4:$J$5</definedName>
    <definedName name="list_Crops">_Довідники!$C$4:$C$7</definedName>
    <definedName name="list_ExportStatus">_Довідники!$H$4:$H$6</definedName>
    <definedName name="list_Oblast">_Довідники!$A$4:$A$28</definedName>
    <definedName name="list_PaymentTerms">_Довідники!$G$4:$G$7</definedName>
    <definedName name="list_RiskLevel">_Довідники!$F$4:$F$6</definedName>
    <definedName name="list_TechBlock">_Довідники!$I$4:$I$6</definedName>
    <definedName name="list_YesNo">_Довідники!$D$4:$D$5</definedName>
    <definedName name="list_YesNoPartial">_Довідники!$E$4:$E$6</definedName>
    <definedName name="MAX_GRANT_EUR">_Параметри!$B$5</definedName>
    <definedName name="PARTNER_FUNDS">'05_Фінансування'!$B$7</definedName>
    <definedName name="PRINCIPAL_ANNUAL">'09_Кредит'!$B$8</definedName>
    <definedName name="PROJECT_AREA_HA">'01_Господарство'!$B$20</definedName>
    <definedName name="PROJECT_YEARS">_Параметри!$B$12</definedName>
    <definedName name="RISK_LOSSES_AFTER">'06_Порівняння'!$E$47</definedName>
    <definedName name="RISK_LOSSES_AVOIDED">'06_Порівняння'!$F$47</definedName>
    <definedName name="RISK_LOSSES_BEFORE">'06_Порівняння'!$C$47</definedName>
    <definedName name="TAX_RATE">_Параметри!$B$10</definedName>
    <definedName name="TOTAL_AREA_HA">'01_Господарство'!$D$10</definedName>
    <definedName name="X_OWN">'05_Фінансування'!$B$5</definedName>
    <definedName name="Y_CAPEX">'04_CAPEX'!$B$16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3" i="7" l="1"/>
  <c r="D13" i="7"/>
  <c r="C13" i="7"/>
  <c r="B16" i="5"/>
  <c r="D16" i="12"/>
  <c r="B18" i="5"/>
  <c r="B10" i="10" s="1"/>
  <c r="D47" i="7"/>
  <c r="G46" i="7"/>
  <c r="G35" i="7"/>
  <c r="G36" i="7"/>
  <c r="G37" i="7"/>
  <c r="G38" i="7"/>
  <c r="G39" i="7"/>
  <c r="G40" i="7"/>
  <c r="G41" i="7"/>
  <c r="G42" i="7"/>
  <c r="G43" i="7"/>
  <c r="G44" i="7"/>
  <c r="G45" i="7"/>
  <c r="F47" i="7"/>
  <c r="G47" i="7"/>
  <c r="D30" i="7"/>
  <c r="C30" i="7"/>
  <c r="D4" i="11" s="1"/>
  <c r="E29" i="7"/>
  <c r="E28" i="7"/>
  <c r="E27" i="7"/>
  <c r="E26" i="7"/>
  <c r="E25" i="7"/>
  <c r="E15" i="7"/>
  <c r="B9" i="5"/>
  <c r="B4" i="5"/>
  <c r="B37" i="2"/>
  <c r="B6" i="12"/>
  <c r="I6" i="11"/>
  <c r="H6" i="11"/>
  <c r="G6" i="11"/>
  <c r="F6" i="11"/>
  <c r="E6" i="11"/>
  <c r="D6" i="11"/>
  <c r="B7" i="10"/>
  <c r="B6" i="10"/>
  <c r="B5" i="10"/>
  <c r="E24" i="7"/>
  <c r="E23" i="7"/>
  <c r="E22" i="7"/>
  <c r="E21" i="7"/>
  <c r="E20" i="7"/>
  <c r="E14" i="7"/>
  <c r="E12" i="7"/>
  <c r="E11" i="7"/>
  <c r="E10" i="7"/>
  <c r="E9" i="7"/>
  <c r="E8" i="7"/>
  <c r="E7" i="7"/>
  <c r="E6" i="7"/>
  <c r="E5" i="7"/>
  <c r="G37" i="2"/>
  <c r="F37" i="2"/>
  <c r="E37" i="2"/>
  <c r="D37" i="2"/>
  <c r="C37" i="2"/>
  <c r="D15" i="11" l="1"/>
  <c r="F12" i="11"/>
  <c r="G12" i="11"/>
  <c r="H12" i="11"/>
  <c r="I12" i="11"/>
  <c r="E12" i="11"/>
  <c r="E30" i="7"/>
  <c r="E11" i="11"/>
  <c r="B4" i="6"/>
  <c r="B15" i="12"/>
  <c r="B8" i="6"/>
  <c r="B6" i="6"/>
  <c r="I4" i="11"/>
  <c r="H4" i="11"/>
  <c r="G4" i="11"/>
  <c r="F4" i="11"/>
  <c r="E4" i="11"/>
  <c r="I5" i="11"/>
  <c r="H5" i="11"/>
  <c r="G5" i="11"/>
  <c r="F5" i="11"/>
  <c r="E5" i="11"/>
  <c r="D5" i="11"/>
  <c r="D7" i="11" s="1"/>
  <c r="B5" i="12"/>
  <c r="D10" i="11" l="1"/>
  <c r="D8" i="11"/>
  <c r="B9" i="10"/>
  <c r="E9" i="11" s="1"/>
  <c r="B11" i="6"/>
  <c r="B12" i="6" s="1"/>
  <c r="B9" i="12"/>
  <c r="E7" i="11"/>
  <c r="B8" i="10"/>
  <c r="B4" i="10"/>
  <c r="B8" i="12"/>
  <c r="B7" i="12"/>
  <c r="H7" i="11"/>
  <c r="G7" i="11"/>
  <c r="I7" i="11"/>
  <c r="F7" i="11"/>
  <c r="B11" i="10" l="1"/>
  <c r="B13" i="12" s="1"/>
  <c r="E13" i="12" s="1"/>
  <c r="E14" i="11"/>
  <c r="E10" i="11"/>
  <c r="E9" i="12"/>
  <c r="B10" i="12"/>
  <c r="E10" i="12" s="1"/>
  <c r="E8" i="11"/>
  <c r="B11" i="12"/>
  <c r="E11" i="12" s="1"/>
  <c r="F13" i="11"/>
  <c r="H13" i="11"/>
  <c r="E13" i="11"/>
  <c r="G13" i="11"/>
  <c r="I13" i="11"/>
  <c r="F9" i="11"/>
  <c r="G9" i="11"/>
  <c r="H9" i="11"/>
  <c r="I9" i="11"/>
  <c r="H8" i="11"/>
  <c r="G8" i="11"/>
  <c r="I8" i="11"/>
  <c r="F8" i="11"/>
  <c r="G14" i="11" l="1"/>
  <c r="G15" i="11" s="1"/>
  <c r="G10" i="11"/>
  <c r="H14" i="11"/>
  <c r="H15" i="11" s="1"/>
  <c r="H10" i="11"/>
  <c r="I14" i="11"/>
  <c r="I15" i="11" s="1"/>
  <c r="I10" i="11"/>
  <c r="E15" i="11"/>
  <c r="B12" i="12"/>
  <c r="E12" i="12" s="1"/>
  <c r="F14" i="11"/>
  <c r="F15" i="11" s="1"/>
  <c r="F10" i="11"/>
  <c r="B16" i="12" l="1"/>
  <c r="E16" i="12" s="1"/>
  <c r="E16" i="11"/>
  <c r="F16" i="11" s="1"/>
  <c r="G16" i="11" s="1"/>
  <c r="H16" i="11" s="1"/>
  <c r="I16" i="11" s="1"/>
  <c r="B14" i="12"/>
  <c r="E14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tc={38DA754D-FE2F-4C16-BF6C-078F5EA3F401}</author>
  </authors>
  <commentList>
    <comment ref="D15" authorId="0" shapeId="0" xr:uid="{38DA754D-FE2F-4C16-BF6C-078F5EA3F401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CAPEX</t>
      </text>
    </comment>
  </commentList>
</comments>
</file>

<file path=xl/sharedStrings.xml><?xml version="1.0" encoding="utf-8"?>
<sst xmlns="http://schemas.openxmlformats.org/spreadsheetml/2006/main" count="488" uniqueCount="393">
  <si>
    <t>ЛЕГЕНДА КОЛЬОРІВ:</t>
  </si>
  <si>
    <t>ВАЖЛИВО ПРО ЗАХИСТ:</t>
  </si>
  <si>
    <t>Розрахункові клітинки заблоковані, щоб ви випадково не зламали формули.</t>
  </si>
  <si>
    <t>Жовті клітинки — введення — повністю доступні.</t>
  </si>
  <si>
    <t>Розділ 1. Загальні відомості про господарство</t>
  </si>
  <si>
    <t>1.1 Реквізити</t>
  </si>
  <si>
    <t>Повна назва господарства / ПІБ ФОП *</t>
  </si>
  <si>
    <t>ЄДРПОУ / ІПН (унікальний код заявника) *</t>
  </si>
  <si>
    <t>ПІБ відповідальної особи *</t>
  </si>
  <si>
    <t>Телефон *</t>
  </si>
  <si>
    <t>E-mail *</t>
  </si>
  <si>
    <t>Загальна площа земель у користуванні, га *</t>
  </si>
  <si>
    <t>1.2 Культури інвестиційного проєкту (☑ Обрано — для тих, що включені)</t>
  </si>
  <si>
    <t>Культура</t>
  </si>
  <si>
    <t>Статус</t>
  </si>
  <si>
    <t>Яблуко</t>
  </si>
  <si>
    <t>☐ Не обрано</t>
  </si>
  <si>
    <t>Суниця садова</t>
  </si>
  <si>
    <t>Малина</t>
  </si>
  <si>
    <t>Волоський горіх</t>
  </si>
  <si>
    <t>Вид продукції</t>
  </si>
  <si>
    <t>2023 тис.грн</t>
  </si>
  <si>
    <t>2024 тис.грн</t>
  </si>
  <si>
    <t>2025 тис.грн</t>
  </si>
  <si>
    <t>РАЗОМ</t>
  </si>
  <si>
    <t>Тип</t>
  </si>
  <si>
    <t>Назва</t>
  </si>
  <si>
    <t>Продукція</t>
  </si>
  <si>
    <t>Умови розрахунків</t>
  </si>
  <si>
    <t>Термін співпраці (міс.)</t>
  </si>
  <si>
    <t>Постачальник</t>
  </si>
  <si>
    <t>Покупець</t>
  </si>
  <si>
    <t>Розділ 1 (продовження). Опис проєкту</t>
  </si>
  <si>
    <t>Основний вид діяльності для проєкту *</t>
  </si>
  <si>
    <t>Експортна діяльність (якщо вид містить «Експорт»)</t>
  </si>
  <si>
    <t>Чи залучало господарство кредити раніше? *</t>
  </si>
  <si>
    <t>Наявність команди для реалізації проєкту? *</t>
  </si>
  <si>
    <t>Економія операційних витрат</t>
  </si>
  <si>
    <t>Підвищення врожайності</t>
  </si>
  <si>
    <t>Збереження врожаю</t>
  </si>
  <si>
    <t>Автономність енергозабезпечення</t>
  </si>
  <si>
    <t>Сертифікація продукції</t>
  </si>
  <si>
    <t>Збереження водних ресурсів</t>
  </si>
  <si>
    <t>Збереження ґрунтів</t>
  </si>
  <si>
    <t>Підвищення якості продукції</t>
  </si>
  <si>
    <t>Сприятливі природно-кліматичні умови</t>
  </si>
  <si>
    <t>Якісні ґрунти</t>
  </si>
  <si>
    <t>Доступність водних ресурсів</t>
  </si>
  <si>
    <t>Забезпеченість технікою/обладнанням</t>
  </si>
  <si>
    <t>Досвід впровадження агротехнологій</t>
  </si>
  <si>
    <t>Прибутковість виробництва</t>
  </si>
  <si>
    <t>Достатність кадрового забезпечення</t>
  </si>
  <si>
    <t>Логістичні та інфраструктурні можливості</t>
  </si>
  <si>
    <t>Відповідність міжнародним стандартам</t>
  </si>
  <si>
    <t>Інша перевага (опишіть)</t>
  </si>
  <si>
    <t>Розділ 2. Кліматичний ризик</t>
  </si>
  <si>
    <t>2.1 Проблеми, які допоможе вирішити обрана технологія (☑ всі, що стосуються)</t>
  </si>
  <si>
    <t>Високі витрати на електроенергію для поливу</t>
  </si>
  <si>
    <t>Високі витрати води на полив</t>
  </si>
  <si>
    <t>Деградація ґрунту</t>
  </si>
  <si>
    <t>Поширення шкідників</t>
  </si>
  <si>
    <t>Поширення інвазійних бур'янів</t>
  </si>
  <si>
    <t>Посухи у вегетаційний період</t>
  </si>
  <si>
    <t>Сильні дощі, грози</t>
  </si>
  <si>
    <t>Смерчі, шквали</t>
  </si>
  <si>
    <t>Град</t>
  </si>
  <si>
    <t>Зміна режиму опадів</t>
  </si>
  <si>
    <t>Пізні весняні заморозки</t>
  </si>
  <si>
    <t>Відсутність стійкого снігового покриву</t>
  </si>
  <si>
    <t>Опис поточної проблеми (втрати, частота, масштаб): *</t>
  </si>
  <si>
    <t>Очікуване рішення (як технологія допоможе): *</t>
  </si>
  <si>
    <t>Стаття витрат</t>
  </si>
  <si>
    <t>Сума, грн</t>
  </si>
  <si>
    <t>Коментар</t>
  </si>
  <si>
    <t>1. Обладнання та матеріали (всього):</t>
  </si>
  <si>
    <t>РАЗОМ (Y) — сума інвестиційного проєкту</t>
  </si>
  <si>
    <t>Вартість обладнання (для страхування)</t>
  </si>
  <si>
    <t>Складова</t>
  </si>
  <si>
    <t>Сума проєкту (Y)</t>
  </si>
  <si>
    <t>З аркуша 04_CAPEX</t>
  </si>
  <si>
    <t>Власні кошти (X) *</t>
  </si>
  <si>
    <t>Заповніть</t>
  </si>
  <si>
    <t>Грант PROGRESS</t>
  </si>
  <si>
    <t>Формула: MIN(Y × 20%; 10 000 EUR × курс)</t>
  </si>
  <si>
    <t>Кошти партнерів / інші гранти</t>
  </si>
  <si>
    <t>Кредит (Z)</t>
  </si>
  <si>
    <t>Строк кредиту, місяців *</t>
  </si>
  <si>
    <t>Стандарт для 5-7-9: 60 міс.</t>
  </si>
  <si>
    <t>Різниця з Y (має бути 0)</t>
  </si>
  <si>
    <t>4.1 Річні операційні витрати</t>
  </si>
  <si>
    <t>№</t>
  </si>
  <si>
    <t>Стаття</t>
  </si>
  <si>
    <t>До (тис.грн)</t>
  </si>
  <si>
    <t>Після (тис.грн)</t>
  </si>
  <si>
    <t>1.1</t>
  </si>
  <si>
    <t>Витрати на електроенергію, тис.грн/га</t>
  </si>
  <si>
    <t>1.2</t>
  </si>
  <si>
    <t>Витрати на логістику / паливо, тис.грн/га</t>
  </si>
  <si>
    <t>1.3</t>
  </si>
  <si>
    <t>Витрати води, тис.грн/га</t>
  </si>
  <si>
    <t>1.4</t>
  </si>
  <si>
    <t>Захист рослин і добрива, тис.грн/га</t>
  </si>
  <si>
    <t>1.5</t>
  </si>
  <si>
    <t>Кількість працівників, осіб (інформативно)</t>
  </si>
  <si>
    <t>1.6</t>
  </si>
  <si>
    <t>Оплата праці, тис.грн/га</t>
  </si>
  <si>
    <t>1.7</t>
  </si>
  <si>
    <t>Тара, пакування, тис.грн/га</t>
  </si>
  <si>
    <t>1.8</t>
  </si>
  <si>
    <t>Технічне обслуговування, тис.грн/га</t>
  </si>
  <si>
    <t>1</t>
  </si>
  <si>
    <t>Прямі виробничі витрати, разом (тис.грн/га)</t>
  </si>
  <si>
    <t>2</t>
  </si>
  <si>
    <t>До</t>
  </si>
  <si>
    <t>Після</t>
  </si>
  <si>
    <t>Приріст</t>
  </si>
  <si>
    <t>Ризик</t>
  </si>
  <si>
    <t>Втрати від граду</t>
  </si>
  <si>
    <t>РАЗОМ втрат / відвернено</t>
  </si>
  <si>
    <t>Розділ 5. Потенційні ризики реалізації</t>
  </si>
  <si>
    <t>5.1 Оцінка ймовірності ризиків</t>
  </si>
  <si>
    <t>Ймовірність</t>
  </si>
  <si>
    <t>Захід з уникнення / коментар</t>
  </si>
  <si>
    <t>Введення торговельних бар'єрів</t>
  </si>
  <si>
    <t>Зростання логістичних витрат</t>
  </si>
  <si>
    <t>Обмеження доступу до доріг</t>
  </si>
  <si>
    <t>Перебої у енергопостачанні</t>
  </si>
  <si>
    <t>Зростання цін на енергоносії / добрива / ЗЗР</t>
  </si>
  <si>
    <t>Нестача робочої сили</t>
  </si>
  <si>
    <t>Пошкодження обладнання стихією</t>
  </si>
  <si>
    <t>Суттєве пошкодження заморозками</t>
  </si>
  <si>
    <t>Воєнні ризики</t>
  </si>
  <si>
    <t>Розділ 6. «Зелений» вплив проєкту</t>
  </si>
  <si>
    <t>Чи використовує господарство інші сталі / зелені практики? (короткий опис)</t>
  </si>
  <si>
    <t>Розділ 7. Обслуговування кредиту</t>
  </si>
  <si>
    <t>Значення</t>
  </si>
  <si>
    <t>Сума кредиту, грн</t>
  </si>
  <si>
    <t>З аркуша 05_Фінансування</t>
  </si>
  <si>
    <t>Строк, місяців</t>
  </si>
  <si>
    <t>Строк, років</t>
  </si>
  <si>
    <t>Ставка, річна</t>
  </si>
  <si>
    <t>Програма 5-7-9</t>
  </si>
  <si>
    <t>Річне погашення тіла, грн</t>
  </si>
  <si>
    <t>Формула: Сума / Строк (років)</t>
  </si>
  <si>
    <t>Середньорічні відсотки, грн</t>
  </si>
  <si>
    <t>Страхування обладнання, грн/рік</t>
  </si>
  <si>
    <t>Формула: Вартість обладнання × 5%</t>
  </si>
  <si>
    <t>РАЗОМ річний платіж</t>
  </si>
  <si>
    <t>Розділ 8.1. Фінансова модель — 5 років</t>
  </si>
  <si>
    <t>Показник</t>
  </si>
  <si>
    <t>Джерело</t>
  </si>
  <si>
    <t>Факт (0)</t>
  </si>
  <si>
    <t>Рік 1</t>
  </si>
  <si>
    <t>Рік 2</t>
  </si>
  <si>
    <t>Рік 3</t>
  </si>
  <si>
    <t>Рік 4</t>
  </si>
  <si>
    <t>Рік 5</t>
  </si>
  <si>
    <t>Валовий дохід, тис.грн</t>
  </si>
  <si>
    <t>4.2 × площа × (1+інфл.)^t</t>
  </si>
  <si>
    <t>Собівартість (прямі), тис.грн</t>
  </si>
  <si>
    <t>4.1, ряд.1 × площу</t>
  </si>
  <si>
    <t>3</t>
  </si>
  <si>
    <t>Операційні (постійні), тис.грн</t>
  </si>
  <si>
    <t>4.1, ряд.2</t>
  </si>
  <si>
    <t>3.1</t>
  </si>
  <si>
    <t>EBITDA, тис.грн</t>
  </si>
  <si>
    <t>Формула: ряд.1 − ряд.2 − ряд.3</t>
  </si>
  <si>
    <t>3.2</t>
  </si>
  <si>
    <t>Опер. рентабельність, %</t>
  </si>
  <si>
    <t>Формула: EBITDA / Дохід</t>
  </si>
  <si>
    <t>4</t>
  </si>
  <si>
    <t>Відсотки по кредиту, тис.грн</t>
  </si>
  <si>
    <t>9_Кредит</t>
  </si>
  <si>
    <t>5</t>
  </si>
  <si>
    <t>ICR — покриття %</t>
  </si>
  <si>
    <t>Формула: EBITDA / Відсотки</t>
  </si>
  <si>
    <t>6</t>
  </si>
  <si>
    <t>CAPEX, тис.грн</t>
  </si>
  <si>
    <t>Y/1000 у рік 1</t>
  </si>
  <si>
    <t>7</t>
  </si>
  <si>
    <t>NWC, тис.грн</t>
  </si>
  <si>
    <t>Введіть, якщо застосовно</t>
  </si>
  <si>
    <t>8</t>
  </si>
  <si>
    <t>Погашення тіла кредиту</t>
  </si>
  <si>
    <t>9_Кредит (Тіло)</t>
  </si>
  <si>
    <t>9</t>
  </si>
  <si>
    <t>Податок на прибуток</t>
  </si>
  <si>
    <t>Формула: MAX(EBITDA−%, 0) × ставка</t>
  </si>
  <si>
    <t>10</t>
  </si>
  <si>
    <t>Чистий грошовий потік</t>
  </si>
  <si>
    <t>Формула: EBITDA−%−NWC−Тіло−Податок</t>
  </si>
  <si>
    <t>11</t>
  </si>
  <si>
    <t>Накопич. потік (з CAPEX)</t>
  </si>
  <si>
    <t>Для періоду окупності</t>
  </si>
  <si>
    <t>Розділ 8. KPI Dashboard</t>
  </si>
  <si>
    <t>Зелений = OK, червоний = потребує уваги.</t>
  </si>
  <si>
    <t>Од.</t>
  </si>
  <si>
    <t>Цільовий рівень</t>
  </si>
  <si>
    <t>Індикатор</t>
  </si>
  <si>
    <t>1. Сума проєкту (Y)</t>
  </si>
  <si>
    <t>грн</t>
  </si>
  <si>
    <t>—</t>
  </si>
  <si>
    <t>2. Власні кошти (X)</t>
  </si>
  <si>
    <t>3. Грант PROGRESS</t>
  </si>
  <si>
    <t>До MIN(Y×20%; 10K€)</t>
  </si>
  <si>
    <t>4. Сума кредиту (Z)</t>
  </si>
  <si>
    <t>5. Річна економ. перевага</t>
  </si>
  <si>
    <t>тис.грн/рік</t>
  </si>
  <si>
    <t>&gt; 0</t>
  </si>
  <si>
    <t>6. Період окупності</t>
  </si>
  <si>
    <t>роки</t>
  </si>
  <si>
    <t>≤ 5</t>
  </si>
  <si>
    <t>7. EBITDA (рік 1)</t>
  </si>
  <si>
    <t>тис.грн</t>
  </si>
  <si>
    <t>8. ICR (рік 1)</t>
  </si>
  <si>
    <t>x</t>
  </si>
  <si>
    <t>≥ 1.5</t>
  </si>
  <si>
    <t>9. DSCR</t>
  </si>
  <si>
    <t>≥ 1.2</t>
  </si>
  <si>
    <t>10. NPV (5 років)</t>
  </si>
  <si>
    <t>11. Відвернені втрати</t>
  </si>
  <si>
    <t>Параметри програми PROGRESS</t>
  </si>
  <si>
    <t>Параметр</t>
  </si>
  <si>
    <t>Опис</t>
  </si>
  <si>
    <t>EUR_RATE</t>
  </si>
  <si>
    <t>Курс EUR/UAH на дату подання</t>
  </si>
  <si>
    <t>MAX_GRANT_EUR</t>
  </si>
  <si>
    <t>Стеля гранту, EUR</t>
  </si>
  <si>
    <t>GRANT_RATE</t>
  </si>
  <si>
    <t>Частка гранту від суми Y (20%)</t>
  </si>
  <si>
    <t>CREDIT_RATE</t>
  </si>
  <si>
    <t>Ставка кредиту (Програма 5-7-9), річна</t>
  </si>
  <si>
    <t>DISCOUNT_RATE</t>
  </si>
  <si>
    <t>Дисконт для NPV (13.4%)</t>
  </si>
  <si>
    <t>INSURANCE_RATE</t>
  </si>
  <si>
    <t>Страхування обладнання, річна ставка</t>
  </si>
  <si>
    <t>TAX_RATE</t>
  </si>
  <si>
    <t>Ставка податку на прибуток</t>
  </si>
  <si>
    <t>INFLATION</t>
  </si>
  <si>
    <t>Прогнозна інфляція, річна</t>
  </si>
  <si>
    <t>PROJECT_YEARS</t>
  </si>
  <si>
    <t>Горизонт моделі, років</t>
  </si>
  <si>
    <t>Довідники для drop-down</t>
  </si>
  <si>
    <t>Oblast</t>
  </si>
  <si>
    <t>Activity</t>
  </si>
  <si>
    <t>Crops</t>
  </si>
  <si>
    <t>YesNo</t>
  </si>
  <si>
    <t>YesNoPartial</t>
  </si>
  <si>
    <t>RiskLevel</t>
  </si>
  <si>
    <t>PaymentTerms</t>
  </si>
  <si>
    <t>ExportStatus</t>
  </si>
  <si>
    <t>TechBlock</t>
  </si>
  <si>
    <t>CheckMark</t>
  </si>
  <si>
    <t>Вінницька</t>
  </si>
  <si>
    <t>Вирощування</t>
  </si>
  <si>
    <t>Так</t>
  </si>
  <si>
    <t>Низька</t>
  </si>
  <si>
    <t>Аванс</t>
  </si>
  <si>
    <t>Здійснюю</t>
  </si>
  <si>
    <t>Блок 1: Енергоефективність та ВДЕ</t>
  </si>
  <si>
    <t>Волинська</t>
  </si>
  <si>
    <t>Переробка</t>
  </si>
  <si>
    <t>Ні</t>
  </si>
  <si>
    <t>Середня</t>
  </si>
  <si>
    <t>Післяплата</t>
  </si>
  <si>
    <t>Планую</t>
  </si>
  <si>
    <t>Блок 2: Водозбереження</t>
  </si>
  <si>
    <t>☑ Обрано</t>
  </si>
  <si>
    <t>Дніпропетровська</t>
  </si>
  <si>
    <t>Вирощування та переробка</t>
  </si>
  <si>
    <t>Частково</t>
  </si>
  <si>
    <t>Висока</t>
  </si>
  <si>
    <t>Факт поставки</t>
  </si>
  <si>
    <t>Блок 3: Адаптація ґрунту та культур</t>
  </si>
  <si>
    <t>Донецька</t>
  </si>
  <si>
    <t>Експорт + вирощування</t>
  </si>
  <si>
    <t>Змішана</t>
  </si>
  <si>
    <t>Житомирська</t>
  </si>
  <si>
    <t>Експорт + переробка</t>
  </si>
  <si>
    <t>Закарпатська</t>
  </si>
  <si>
    <t>Експорт + вирощування + переробка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</si>
  <si>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</si>
  <si>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</si>
  <si>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</si>
  <si>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</si>
  <si>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</si>
  <si>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</si>
  <si>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</si>
  <si>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</si>
  <si>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</si>
  <si>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</si>
  <si>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</si>
  <si>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</si>
  <si>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</si>
  <si>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</si>
  <si>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</si>
  <si>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</si>
  <si>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</si>
  <si>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</si>
  <si>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</si>
  <si>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Сірий — розрахунок, заблокований. Оновиться автоматично.</t>
  </si>
  <si>
    <t>Зелений — посилання на інший аркуш.</t>
  </si>
  <si>
    <t>Далі</t>
  </si>
  <si>
    <t>Місцезнаходження (область, район) *</t>
  </si>
  <si>
    <t>Інтернет-сторінка (сайт / соц.мережа), за наявності</t>
  </si>
  <si>
    <t>Площа під культурами проєкту, га</t>
  </si>
  <si>
    <t>1.3 Обсяги продажів за останні 3 роки</t>
  </si>
  <si>
    <t>1.4 Постачальники та покупці</t>
  </si>
  <si>
    <t>Чи маєте досвід у вирощуванні/переробці культур програми? *</t>
  </si>
  <si>
    <t>Чи є потреба в опануванні нових навичок з метою реалізації проєкту? *</t>
  </si>
  <si>
    <t>Якщо так — які саме навички? (напишіть)</t>
  </si>
  <si>
    <t>1.5 Вид діяльності та експорт</t>
  </si>
  <si>
    <t>Яблуко (переробка)</t>
  </si>
  <si>
    <t>Яблуко (експорт)</t>
  </si>
  <si>
    <t>Суниця (переробка)</t>
  </si>
  <si>
    <t>Суниця (експорт)</t>
  </si>
  <si>
    <t>Яблуко (вирощування)</t>
  </si>
  <si>
    <t>Суниця (вирощування)</t>
  </si>
  <si>
    <t>Волоський горіх (вирощування)</t>
  </si>
  <si>
    <t>Волоський горіх (переробка)</t>
  </si>
  <si>
    <t>Волоський горіх (експорт)</t>
  </si>
  <si>
    <t>Приклад:</t>
  </si>
  <si>
    <r>
      <rPr>
        <b/>
        <sz val="10"/>
        <rFont val="Arial"/>
        <family val="2"/>
        <charset val="204"/>
      </rPr>
      <t>Проблема:</t>
    </r>
    <r>
      <rPr>
        <sz val="10"/>
        <rFont val="Arial"/>
        <family val="2"/>
        <charset val="204"/>
      </rPr>
      <t xml:space="preserve"> "Щороку в липні-серпні через сильну спеку та відсутність дощів ми втрачаємо до 25% врожаю яблук. Існуюча система захисту від опіків яблук є неефективною та енерговитратною."
</t>
    </r>
    <r>
      <rPr>
        <b/>
        <sz val="10"/>
        <rFont val="Arial"/>
        <family val="2"/>
        <charset val="204"/>
      </rPr>
      <t>Очікуване рішення</t>
    </r>
    <r>
      <rPr>
        <sz val="10"/>
        <rFont val="Arial"/>
        <family val="2"/>
        <charset val="204"/>
      </rPr>
      <t>:
"Плануємо встановити систему краплинного зрошення, яка живитиметься від сонячних панелей, які свою чергу будуть захищати від надмірного сонячного випромінювання. Для цього буде придбано систему крапельного зрошення і систему Agriculture Photovoltaic (APV). Це дозволить забезпечити економний точний стабільний полив та скоротити витрати на електроенергію, або взагалі забезпечити автономність."</t>
    </r>
  </si>
  <si>
    <t>Розділ 3. Калькуляція витрат на проєкт</t>
  </si>
  <si>
    <t xml:space="preserve">Коментар </t>
  </si>
  <si>
    <t>Розділ 3. (продовження) Джерела фінансування</t>
  </si>
  <si>
    <t>Формула: Y - X - Партнери</t>
  </si>
  <si>
    <t>2. Доставка, монтаж, пусконалагодження</t>
  </si>
  <si>
    <t>3. Консультаційні послуги (проєктування, агроном, сертифікація)</t>
  </si>
  <si>
    <t>4. Обслуговування обладнання (на рік)</t>
  </si>
  <si>
    <t>4.1. Оплата праці (період впровадження)</t>
  </si>
  <si>
    <t>4.2. Матеріальні витрати</t>
  </si>
  <si>
    <t>4.3. Страхування</t>
  </si>
  <si>
    <t>4.4. Інше — позиція 1</t>
  </si>
  <si>
    <t>5. Інше — позиція 2</t>
  </si>
  <si>
    <t>1.1. Основне обладнання</t>
  </si>
  <si>
    <t>1.2. Допоміжне обладнання</t>
  </si>
  <si>
    <t>Якщо є - введіть; інакше 0</t>
  </si>
  <si>
    <t>Контроль: X  + Партнери + Кредит</t>
  </si>
  <si>
    <t>Розділ 4. Вплив інвестиційного проєкту на бізнес-процеси і сталість господарства:</t>
  </si>
  <si>
    <t>вид продукції 1 (напр. яблуко)</t>
  </si>
  <si>
    <t>вид продукції 2 (напр. яблучні чіпси)</t>
  </si>
  <si>
    <r>
      <rPr>
        <b/>
        <sz val="11"/>
        <color theme="1"/>
        <rFont val="Calibri"/>
        <family val="2"/>
        <charset val="204"/>
      </rPr>
      <t>Постійні витрати господарства, тис.грн/рік</t>
    </r>
    <r>
      <rPr>
        <sz val="11"/>
        <color theme="1"/>
        <rFont val="Calibri"/>
        <family val="2"/>
        <charset val="1"/>
      </rPr>
      <t xml:space="preserve">
(постійний персонал, керівництво, бухгалтерія, комунальні, оренда, податки на землю, технічне обслуговування, страхування тощо)</t>
    </r>
  </si>
  <si>
    <t>Податок на прибуток, тис грн / за рік</t>
  </si>
  <si>
    <t>Втрати від шкідників через потепління</t>
  </si>
  <si>
    <t>Втрати через посуху та дефіцит вологи</t>
  </si>
  <si>
    <t>4.3 Вплив кліматичних ризиків на врожай (вартість втрат, тис.грн/рік)</t>
  </si>
  <si>
    <t>Втрати через надмірні опади та вологу погоду</t>
  </si>
  <si>
    <t>Втрати через появу нових інвазивних видів</t>
  </si>
  <si>
    <t>Втрати через екстремальну літню спеку</t>
  </si>
  <si>
    <t>Втрати через сильні вітри, буревії</t>
  </si>
  <si>
    <t>Втрати через відсутність електроенергії/палива</t>
  </si>
  <si>
    <t>Втрати від сонячних опіків плодів та кори</t>
  </si>
  <si>
    <t>Втрати від від весняних та осінніх заморозків</t>
  </si>
  <si>
    <t>Витрати на електроенергію для поливу</t>
  </si>
  <si>
    <t>Відвернено, тис.грн</t>
  </si>
  <si>
    <t>Після (% продукції)</t>
  </si>
  <si>
    <t>До (% продукції)</t>
  </si>
  <si>
    <t>-</t>
  </si>
  <si>
    <t>Падіння ринкових цін на культуру (яблука, суницю садову, малину, волоські горіхи)</t>
  </si>
  <si>
    <t>Зміна попиту на культуру (яблука, суницю садову, малину, волоські горіхи)</t>
  </si>
  <si>
    <t>наприклад: встановлення контрактних відносин з переробниками, торговельними мережами, іноземними покупцями, інше</t>
  </si>
  <si>
    <t>наприклад: впровадження цифрових рішень, зміна партнерів,
придбання основних засобів логістики, інше</t>
  </si>
  <si>
    <t>наприклад: альтернативний центр зберігання та переробки продукції, 
врахування цього ризику у контрактних відносинах, інше</t>
  </si>
  <si>
    <t>наприклад: впровадження альтернативних джерел енергопостачання</t>
  </si>
  <si>
    <t>наприклад: створення оптимальних запасів (ресурсів, коштів тощо),
оптимізація рішень у виробництві для зменшення витрат, інше</t>
  </si>
  <si>
    <t>наприклад: автоматизація виробничих процесів, підвищення оплати праці, інше</t>
  </si>
  <si>
    <t>наприклад: страхування обладнання, інше</t>
  </si>
  <si>
    <t>наприклад: страхування, впровадження відповідних захисних практик,
інше</t>
  </si>
  <si>
    <t>наприклад: можливість релокації господарства та визначення відповідної послідовності дій</t>
  </si>
  <si>
    <t>Потенційний позитивний вплив на екологію, клімат, соц.сферу:</t>
  </si>
  <si>
    <t>Опишіть потенційний позитивний вплив проєкту на екологію, клімат, соціальну складову в громаді (напр. зменшення навантаження на грунт, водні та/або енергетичні ресурси, скорочення викидів СО2, підвищення рівня зайнятості, у т. ч. ВПО та ветеранів, створення інклюзивного доступу до робочих місць і вирощеної продукції, охорона біорізноманіття, покращення гендерної рівності).</t>
  </si>
  <si>
    <t>Наприклад: проєкт матиме екологічний ефект. Очікується щорічна економія близько 12 000 кубічних метрів води, що є критично важливим для району. Перехід на сонячну енергію для поливу дозволить скоротити викиди CO2 приблизно на 4 тонни на рік. Буде зменшено навантаження на енергосистему на 3000 кВт-год на рік. Буде залучено до виробничої діяльності жінок, ВПО. Інше.
Додатково позитивний вплив на зазначені сфери чинить стала практика господарювання. Зокрема: на підприємстві використовують інші кліматичні і «зелені» практики, працює 10 жінок, 2 ВПО. Підприємство відповідає за стан об’єкту на території району та співфінансує розвиток соціальної інфраструктури району тощо.</t>
  </si>
  <si>
    <t>Формула: Сума × ставка × (Строк, років + 1) ÷ (2 × Строк, років)</t>
  </si>
  <si>
    <t>12. IRR</t>
  </si>
  <si>
    <t>%</t>
  </si>
  <si>
    <r>
      <rPr>
        <b/>
        <sz val="10"/>
        <rFont val="Arial"/>
        <family val="2"/>
        <charset val="204"/>
      </rPr>
      <t>Жовтий — поле для вашого введення (текст або число).</t>
    </r>
    <r>
      <rPr>
        <sz val="10"/>
        <rFont val="Arial"/>
        <family val="2"/>
        <charset val="204"/>
      </rPr>
      <t xml:space="preserve">
В таблицях хоча б один такий рядок має бути заповнений</t>
    </r>
  </si>
  <si>
    <t>Кінець. Збережіть зміни та завантажте файл у заявку</t>
  </si>
  <si>
    <t>Бізнес-план "Зелене фермерство в садівництві"</t>
  </si>
  <si>
    <t>ІНСТРУКЦІЯ</t>
  </si>
  <si>
    <t>Охарактеризуйте основних постачальників та покупців господарства. Яка тривалість основних контрактів з Вашими клієнтами?</t>
  </si>
  <si>
    <t>1.6 Основна мета бізнес-ідеї (☑ всі, що стосуються)</t>
  </si>
  <si>
    <t>1.7 Ринкові переваги господарства (☑ всі, що стосуються)</t>
  </si>
  <si>
    <t>Надайте коротку характеристику діяльності Вашого господарства на ринку (обсяги Ваших продажів в розрізі видів продукції в натуральному та грошовому виразі. Заповнюйте лише наявну діяльність)</t>
  </si>
  <si>
    <t>2023 тон</t>
  </si>
  <si>
    <t>2024 тон</t>
  </si>
  <si>
    <t>2025 тон</t>
  </si>
  <si>
    <t>Економія (тис.грн)</t>
  </si>
  <si>
    <t>Вартість використовуваної води для поливу</t>
  </si>
  <si>
    <t>Малина (вирощування)</t>
  </si>
  <si>
    <t>Малина (переробка)</t>
  </si>
  <si>
    <t>Малина (експорт)</t>
  </si>
  <si>
    <t>4.2 Дохід (тис.грн / 1 га в рік)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</si>
</sst>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;[Red]\-#,##0;&quot;OK&quot;"/>
    <numFmt numFmtId="165" formatCode="#,##0.00;[Red]\(#,##0.00\);\-"/>
    <numFmt numFmtId="166" formatCode="0.0"/>
    <numFmt numFmtId="167" formatCode="0.0%"/>
    <numFmt numFmtId="168" formatCode="#,##0;[Red]\(#,##0\);\-"/>
    <numFmt numFmtId="169" formatCode="0.0%;[Red]\-0.0%;\-"/>
    <numFmt numFmtId="170" formatCode="0.00\x;[Red]\-0.00\x;\-"/>
    <numFmt numFmtId="171" formatCode="#,##0;[Red]\(#,##0\)"/>
    <numFmt numFmtId="172" formatCode="0.00\x"/>
  </numFmts>
  <fonts count="34" x14ac:knownFonts="1">
    <font>
      <sz val="11"/>
      <color theme="1"/>
      <name val="Calibri"/>
      <family val="2"/>
      <charset val="1"/>
    </font>
    <font>
      <b/>
      <sz val="16"/>
      <color rgb="FF1F3864"/>
      <name val="Arial"/>
      <charset val="1"/>
    </font>
    <font>
      <sz val="10"/>
      <name val="Arial"/>
      <charset val="1"/>
    </font>
    <font>
      <b/>
      <sz val="11"/>
      <color rgb="FF1F3864"/>
      <name val="Arial"/>
      <charset val="1"/>
    </font>
    <font>
      <b/>
      <sz val="13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0000FF"/>
      <name val="Arial"/>
      <charset val="1"/>
    </font>
    <font>
      <i/>
      <sz val="9"/>
      <color rgb="FF595959"/>
      <name val="Arial"/>
      <charset val="1"/>
    </font>
    <font>
      <sz val="10"/>
      <color rgb="FF000000"/>
      <name val="Arial"/>
      <charset val="1"/>
    </font>
    <font>
      <b/>
      <sz val="10"/>
      <color rgb="FF008000"/>
      <name val="Arial"/>
      <charset val="1"/>
    </font>
    <font>
      <i/>
      <sz val="11"/>
      <color rgb="FF595959"/>
      <name val="Arial"/>
      <charset val="1"/>
    </font>
    <font>
      <b/>
      <sz val="10"/>
      <color rgb="FFC65911"/>
      <name val="Arial"/>
      <charset val="1"/>
    </font>
    <font>
      <sz val="10"/>
      <color rgb="FF008000"/>
      <name val="Arial"/>
      <charset val="1"/>
    </font>
    <font>
      <b/>
      <sz val="11"/>
      <color rgb="FF008000"/>
      <name val="Arial"/>
      <charset val="1"/>
    </font>
    <font>
      <sz val="10"/>
      <color rgb="FF595959"/>
      <name val="Arial"/>
      <charset val="1"/>
    </font>
    <font>
      <i/>
      <sz val="10"/>
      <name val="Arial"/>
      <charset val="1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6"/>
      <color rgb="FF1F3864"/>
      <name val="Arial"/>
      <family val="2"/>
      <charset val="204"/>
    </font>
    <font>
      <u/>
      <sz val="11"/>
      <color theme="10"/>
      <name val="Calibri"/>
      <family val="2"/>
      <charset val="1"/>
    </font>
    <font>
      <b/>
      <u/>
      <sz val="11"/>
      <color theme="10"/>
      <name val="Calibri"/>
      <family val="2"/>
      <charset val="204"/>
    </font>
    <font>
      <b/>
      <sz val="10"/>
      <name val="Arial"/>
      <family val="2"/>
      <charset val="204"/>
    </font>
    <font>
      <b/>
      <sz val="11"/>
      <color rgb="FF1F3864"/>
      <name val="Arial"/>
      <family val="2"/>
      <charset val="204"/>
    </font>
    <font>
      <b/>
      <sz val="13"/>
      <color rgb="FFFFFFFF"/>
      <name val="Arial"/>
      <family val="2"/>
      <charset val="204"/>
    </font>
    <font>
      <sz val="10"/>
      <color rgb="FF0000FF"/>
      <name val="Arial"/>
      <family val="2"/>
      <charset val="204"/>
    </font>
    <font>
      <b/>
      <sz val="9"/>
      <color rgb="FF1F3864"/>
      <name val="Arial"/>
      <family val="2"/>
      <charset val="204"/>
    </font>
    <font>
      <i/>
      <sz val="9"/>
      <color rgb="FF595959"/>
      <name val="Arial"/>
      <family val="2"/>
      <charset val="204"/>
    </font>
    <font>
      <i/>
      <sz val="11"/>
      <color rgb="FF595959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i/>
      <sz val="10"/>
      <color rgb="FF000000"/>
      <name val="Arial"/>
      <family val="2"/>
      <charset val="204"/>
    </font>
    <font>
      <sz val="10"/>
      <color rgb="FF595959"/>
      <name val="Arial"/>
      <family val="2"/>
      <charset val="204"/>
    </font>
    <font>
      <b/>
      <u/>
      <sz val="11"/>
      <name val="Calibri"/>
      <family val="2"/>
      <charset val="204"/>
    </font>
    <font>
      <b/>
      <sz val="12"/>
      <color rgb="FF1F3864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305496"/>
        <bgColor rgb="FF1F3864"/>
      </patternFill>
    </fill>
    <fill>
      <patternFill patternType="solid">
        <fgColor rgb="FFD9E1F2"/>
        <bgColor rgb="FFF2F2F2"/>
      </patternFill>
    </fill>
    <fill>
      <patternFill patternType="solid">
        <fgColor rgb="FFFFFFCC"/>
        <bgColor rgb="FFFFF2CC"/>
      </patternFill>
    </fill>
    <fill>
      <patternFill patternType="solid">
        <fgColor rgb="FFF2F2F2"/>
        <bgColor rgb="FFFFFFFF"/>
      </patternFill>
    </fill>
    <fill>
      <patternFill patternType="solid">
        <fgColor rgb="FFFFF2CC"/>
        <bgColor rgb="FFFFFFCC"/>
      </patternFill>
    </fill>
    <fill>
      <patternFill patternType="solid">
        <fgColor rgb="FF00B05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D9E1F2"/>
        <bgColor rgb="FFFFF2CC"/>
      </patternFill>
    </fill>
  </fills>
  <borders count="5">
    <border>
      <left/>
      <right/>
      <top/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/>
      <bottom style="thin">
        <color rgb="FF808080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10">
    <xf numFmtId="0" fontId="0" fillId="0" borderId="0" xfId="0"/>
    <xf numFmtId="0" fontId="5" fillId="0" borderId="0" xfId="0" applyFont="1" applyAlignment="1">
      <alignment horizontal="left" vertical="center" wrapText="1" indent="1"/>
    </xf>
    <xf numFmtId="0" fontId="5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left" vertical="top" wrapText="1" indent="1"/>
      <protection locked="0"/>
    </xf>
    <xf numFmtId="4" fontId="6" fillId="4" borderId="2" xfId="0" applyNumberFormat="1" applyFont="1" applyFill="1" applyBorder="1" applyAlignment="1" applyProtection="1">
      <alignment horizontal="right" vertical="center"/>
      <protection locked="0"/>
    </xf>
    <xf numFmtId="0" fontId="5" fillId="3" borderId="0" xfId="0" applyFont="1" applyFill="1"/>
    <xf numFmtId="4" fontId="5" fillId="3" borderId="2" xfId="0" applyNumberFormat="1" applyFont="1" applyFill="1" applyBorder="1" applyAlignment="1">
      <alignment horizontal="right" vertical="center"/>
    </xf>
    <xf numFmtId="1" fontId="6" fillId="4" borderId="2" xfId="0" applyNumberFormat="1" applyFont="1" applyFill="1" applyBorder="1" applyAlignment="1" applyProtection="1">
      <alignment horizontal="right" vertical="center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 indent="1"/>
    </xf>
    <xf numFmtId="0" fontId="0" fillId="3" borderId="0" xfId="0" applyFill="1"/>
    <xf numFmtId="3" fontId="6" fillId="4" borderId="2" xfId="0" applyNumberFormat="1" applyFont="1" applyFill="1" applyBorder="1" applyAlignment="1" applyProtection="1">
      <alignment horizontal="right" vertical="center"/>
      <protection locked="0"/>
    </xf>
    <xf numFmtId="0" fontId="5" fillId="3" borderId="2" xfId="0" applyFont="1" applyFill="1" applyBorder="1" applyAlignment="1">
      <alignment horizontal="left" vertical="center" wrapText="1" indent="1"/>
    </xf>
    <xf numFmtId="3" fontId="5" fillId="3" borderId="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 wrapText="1" indent="1"/>
    </xf>
    <xf numFmtId="3" fontId="8" fillId="5" borderId="2" xfId="0" applyNumberFormat="1" applyFont="1" applyFill="1" applyBorder="1" applyAlignment="1">
      <alignment horizontal="right" vertical="center"/>
    </xf>
    <xf numFmtId="3" fontId="9" fillId="5" borderId="2" xfId="0" applyNumberFormat="1" applyFont="1" applyFill="1" applyBorder="1" applyAlignment="1">
      <alignment horizontal="right" vertical="center"/>
    </xf>
    <xf numFmtId="0" fontId="7" fillId="0" borderId="0" xfId="0" applyFont="1"/>
    <xf numFmtId="0" fontId="0" fillId="0" borderId="0" xfId="0" applyAlignment="1">
      <alignment horizontal="left" vertical="center" wrapText="1" indent="1"/>
    </xf>
    <xf numFmtId="3" fontId="5" fillId="5" borderId="2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 wrapText="1" indent="1"/>
    </xf>
    <xf numFmtId="164" fontId="8" fillId="5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 indent="1"/>
    </xf>
    <xf numFmtId="165" fontId="8" fillId="5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1" fontId="9" fillId="5" borderId="2" xfId="0" applyNumberFormat="1" applyFont="1" applyFill="1" applyBorder="1" applyAlignment="1">
      <alignment horizontal="right" vertical="center"/>
    </xf>
    <xf numFmtId="166" fontId="8" fillId="5" borderId="2" xfId="0" applyNumberFormat="1" applyFont="1" applyFill="1" applyBorder="1" applyAlignment="1">
      <alignment horizontal="right" vertical="center"/>
    </xf>
    <xf numFmtId="167" fontId="11" fillId="5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3" fontId="12" fillId="5" borderId="2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left" vertical="center" wrapText="1" indent="1"/>
    </xf>
    <xf numFmtId="168" fontId="5" fillId="3" borderId="2" xfId="0" applyNumberFormat="1" applyFont="1" applyFill="1" applyBorder="1" applyAlignment="1">
      <alignment horizontal="right" vertical="center"/>
    </xf>
    <xf numFmtId="169" fontId="8" fillId="5" borderId="2" xfId="0" applyNumberFormat="1" applyFont="1" applyFill="1" applyBorder="1" applyAlignment="1">
      <alignment horizontal="right" vertical="center"/>
    </xf>
    <xf numFmtId="168" fontId="8" fillId="5" borderId="2" xfId="0" applyNumberFormat="1" applyFont="1" applyFill="1" applyBorder="1" applyAlignment="1">
      <alignment horizontal="right" vertical="center"/>
    </xf>
    <xf numFmtId="170" fontId="8" fillId="5" borderId="2" xfId="0" applyNumberFormat="1" applyFont="1" applyFill="1" applyBorder="1" applyAlignment="1">
      <alignment horizontal="right" vertical="center"/>
    </xf>
    <xf numFmtId="171" fontId="8" fillId="5" borderId="2" xfId="0" applyNumberFormat="1" applyFont="1" applyFill="1" applyBorder="1" applyAlignment="1">
      <alignment horizontal="right" vertical="center"/>
    </xf>
    <xf numFmtId="3" fontId="13" fillId="5" borderId="2" xfId="0" applyNumberFormat="1" applyFont="1" applyFill="1" applyBorder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3" fillId="5" borderId="2" xfId="0" applyNumberFormat="1" applyFont="1" applyFill="1" applyBorder="1" applyAlignment="1">
      <alignment horizontal="right" vertical="center"/>
    </xf>
    <xf numFmtId="0" fontId="5" fillId="5" borderId="2" xfId="0" applyFont="1" applyFill="1" applyBorder="1" applyAlignment="1">
      <alignment horizontal="center" vertical="center" wrapText="1"/>
    </xf>
    <xf numFmtId="2" fontId="13" fillId="5" borderId="2" xfId="0" applyNumberFormat="1" applyFont="1" applyFill="1" applyBorder="1" applyAlignment="1">
      <alignment horizontal="right" vertical="center"/>
    </xf>
    <xf numFmtId="172" fontId="13" fillId="5" borderId="2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4" fontId="11" fillId="6" borderId="2" xfId="0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Alignment="1">
      <alignment horizontal="left" vertical="center" wrapText="1" indent="1"/>
    </xf>
    <xf numFmtId="3" fontId="11" fillId="6" borderId="2" xfId="0" applyNumberFormat="1" applyFont="1" applyFill="1" applyBorder="1" applyAlignment="1" applyProtection="1">
      <alignment horizontal="right" vertical="center"/>
      <protection locked="0"/>
    </xf>
    <xf numFmtId="167" fontId="11" fillId="6" borderId="2" xfId="0" applyNumberFormat="1" applyFont="1" applyFill="1" applyBorder="1" applyAlignment="1" applyProtection="1">
      <alignment horizontal="right" vertical="center"/>
      <protection locked="0"/>
    </xf>
    <xf numFmtId="1" fontId="11" fillId="6" borderId="2" xfId="0" applyNumberFormat="1" applyFont="1" applyFill="1" applyBorder="1" applyAlignment="1" applyProtection="1">
      <alignment horizontal="right" vertical="center"/>
      <protection locked="0"/>
    </xf>
    <xf numFmtId="0" fontId="3" fillId="3" borderId="0" xfId="0" applyFont="1" applyFill="1"/>
    <xf numFmtId="0" fontId="17" fillId="3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 indent="1"/>
    </xf>
    <xf numFmtId="0" fontId="20" fillId="7" borderId="0" xfId="1" quotePrefix="1" applyFont="1" applyFill="1" applyProtection="1">
      <protection locked="0" hidden="1"/>
    </xf>
    <xf numFmtId="0" fontId="16" fillId="8" borderId="0" xfId="0" applyFont="1" applyFill="1" applyAlignment="1">
      <alignment horizontal="left" vertical="center" wrapText="1" indent="1"/>
    </xf>
    <xf numFmtId="0" fontId="2" fillId="8" borderId="0" xfId="0" applyFont="1" applyFill="1" applyAlignment="1">
      <alignment horizontal="left" vertical="center" wrapText="1" indent="1"/>
    </xf>
    <xf numFmtId="4" fontId="6" fillId="4" borderId="2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 wrapText="1"/>
    </xf>
    <xf numFmtId="0" fontId="21" fillId="8" borderId="0" xfId="0" applyFont="1" applyFill="1" applyAlignment="1">
      <alignment horizontal="left" vertical="center" wrapText="1" indent="1"/>
    </xf>
    <xf numFmtId="0" fontId="19" fillId="7" borderId="0" xfId="1" quotePrefix="1" applyFill="1" applyProtection="1">
      <protection locked="0" hidden="1"/>
    </xf>
    <xf numFmtId="0" fontId="24" fillId="4" borderId="2" xfId="0" applyFont="1" applyFill="1" applyBorder="1" applyAlignment="1" applyProtection="1">
      <alignment horizontal="left" vertical="top" wrapText="1" indent="1"/>
      <protection locked="0"/>
    </xf>
    <xf numFmtId="0" fontId="23" fillId="2" borderId="2" xfId="0" applyFont="1" applyFill="1" applyBorder="1" applyAlignment="1">
      <alignment horizontal="center" vertical="center" wrapText="1"/>
    </xf>
    <xf numFmtId="0" fontId="26" fillId="0" borderId="0" xfId="0" applyFont="1"/>
    <xf numFmtId="3" fontId="0" fillId="3" borderId="0" xfId="0" applyNumberFormat="1" applyFill="1"/>
    <xf numFmtId="0" fontId="27" fillId="0" borderId="0" xfId="0" applyFont="1" applyAlignment="1">
      <alignment horizontal="left" vertical="center" wrapText="1" indent="1"/>
    </xf>
    <xf numFmtId="0" fontId="5" fillId="3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left" vertical="center" wrapText="1" indent="1"/>
    </xf>
    <xf numFmtId="0" fontId="28" fillId="0" borderId="2" xfId="0" applyFont="1" applyBorder="1" applyAlignment="1">
      <alignment horizontal="left" vertical="center" wrapText="1" indent="1"/>
    </xf>
    <xf numFmtId="4" fontId="17" fillId="3" borderId="2" xfId="0" applyNumberFormat="1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 indent="1"/>
    </xf>
    <xf numFmtId="0" fontId="31" fillId="0" borderId="2" xfId="0" applyFont="1" applyBorder="1" applyAlignment="1">
      <alignment horizontal="center" vertical="center" wrapText="1"/>
    </xf>
    <xf numFmtId="10" fontId="13" fillId="5" borderId="2" xfId="0" applyNumberFormat="1" applyFont="1" applyFill="1" applyBorder="1" applyAlignment="1">
      <alignment horizontal="right" vertical="center"/>
    </xf>
    <xf numFmtId="0" fontId="24" fillId="4" borderId="2" xfId="0" applyFont="1" applyFill="1" applyBorder="1" applyAlignment="1" applyProtection="1">
      <alignment horizontal="center" vertical="center" wrapText="1"/>
      <protection locked="0"/>
    </xf>
    <xf numFmtId="0" fontId="25" fillId="3" borderId="4" xfId="0" applyFont="1" applyFill="1" applyBorder="1" applyAlignment="1">
      <alignment horizontal="center" vertical="top" wrapText="1"/>
    </xf>
    <xf numFmtId="0" fontId="17" fillId="8" borderId="0" xfId="0" applyFont="1" applyFill="1" applyAlignment="1">
      <alignment horizontal="left" vertical="center" wrapText="1" indent="1"/>
    </xf>
    <xf numFmtId="0" fontId="5" fillId="8" borderId="0" xfId="0" applyFont="1" applyFill="1" applyAlignment="1">
      <alignment horizontal="left" vertical="center" wrapText="1" indent="1"/>
    </xf>
    <xf numFmtId="0" fontId="6" fillId="4" borderId="1" xfId="0" applyFont="1" applyFill="1" applyBorder="1" applyAlignment="1" applyProtection="1">
      <alignment horizontal="left" vertical="top" wrapText="1" indent="1"/>
      <protection locked="0"/>
    </xf>
    <xf numFmtId="0" fontId="6" fillId="4" borderId="2" xfId="0" applyFont="1" applyFill="1" applyBorder="1" applyAlignment="1" applyProtection="1">
      <alignment horizontal="left" vertical="top" wrapText="1" indent="1"/>
      <protection locked="0"/>
    </xf>
    <xf numFmtId="0" fontId="22" fillId="3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4" fontId="6" fillId="4" borderId="1" xfId="0" applyNumberFormat="1" applyFont="1" applyFill="1" applyBorder="1" applyAlignment="1" applyProtection="1">
      <alignment horizontal="right" vertical="center"/>
      <protection locked="0"/>
    </xf>
    <xf numFmtId="4" fontId="6" fillId="4" borderId="2" xfId="0" applyNumberFormat="1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left" vertical="center" indent="1"/>
    </xf>
    <xf numFmtId="0" fontId="2" fillId="0" borderId="0" xfId="0" applyFont="1" applyAlignment="1">
      <alignment horizontal="left" vertical="top" wrapText="1" indent="1"/>
    </xf>
    <xf numFmtId="0" fontId="17" fillId="3" borderId="0" xfId="0" applyFont="1" applyFill="1" applyAlignment="1">
      <alignment horizontal="left" vertical="center" wrapText="1"/>
    </xf>
    <xf numFmtId="0" fontId="21" fillId="7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 indent="1"/>
    </xf>
    <xf numFmtId="0" fontId="16" fillId="0" borderId="0" xfId="0" applyFont="1" applyAlignment="1">
      <alignment horizontal="left" vertical="top" wrapText="1" indent="1"/>
    </xf>
    <xf numFmtId="0" fontId="18" fillId="0" borderId="0" xfId="0" applyFont="1"/>
    <xf numFmtId="0" fontId="1" fillId="0" borderId="0" xfId="0" applyFont="1"/>
    <xf numFmtId="0" fontId="33" fillId="0" borderId="0" xfId="0" applyFont="1" applyAlignment="1">
      <alignment horizontal="left" vertical="top" wrapText="1" indent="1"/>
    </xf>
    <xf numFmtId="0" fontId="16" fillId="4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16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left" vertical="center" wrapText="1" indent="1"/>
    </xf>
    <xf numFmtId="0" fontId="23" fillId="2" borderId="0" xfId="0" applyFont="1" applyFill="1" applyAlignment="1">
      <alignment horizontal="left" vertical="center" indent="1"/>
    </xf>
    <xf numFmtId="0" fontId="16" fillId="9" borderId="3" xfId="0" applyFont="1" applyFill="1" applyBorder="1" applyAlignment="1">
      <alignment horizontal="left" vertical="top" wrapText="1" indent="1"/>
    </xf>
    <xf numFmtId="0" fontId="6" fillId="4" borderId="3" xfId="0" applyFont="1" applyFill="1" applyBorder="1" applyAlignment="1" applyProtection="1">
      <alignment horizontal="left" vertical="top" wrapText="1" indent="1"/>
      <protection locked="0"/>
    </xf>
    <xf numFmtId="0" fontId="22" fillId="3" borderId="4" xfId="0" applyFont="1" applyFill="1" applyBorder="1" applyAlignment="1">
      <alignment horizontal="left" vertical="top"/>
    </xf>
    <xf numFmtId="0" fontId="22" fillId="3" borderId="0" xfId="0" applyFont="1" applyFill="1" applyAlignment="1">
      <alignment horizontal="left" vertical="top"/>
    </xf>
    <xf numFmtId="0" fontId="23" fillId="2" borderId="0" xfId="0" applyFont="1" applyFill="1" applyAlignment="1">
      <alignment horizontal="left" vertical="center"/>
    </xf>
    <xf numFmtId="0" fontId="32" fillId="7" borderId="0" xfId="1" quotePrefix="1" applyFont="1" applyFill="1" applyAlignment="1" applyProtection="1">
      <alignment horizontal="center" vertical="top"/>
      <protection hidden="1"/>
    </xf>
    <xf numFmtId="0" fontId="24" fillId="4" borderId="3" xfId="0" applyFont="1" applyFill="1" applyBorder="1" applyAlignment="1" applyProtection="1">
      <alignment horizontal="left" vertical="top" wrapText="1" indent="1"/>
      <protection locked="0"/>
    </xf>
    <xf numFmtId="0" fontId="30" fillId="0" borderId="0" xfId="0" applyFont="1" applyAlignment="1">
      <alignment horizontal="left" vertical="center" wrapText="1" indent="1"/>
    </xf>
    <xf numFmtId="0" fontId="10" fillId="0" borderId="0" xfId="0" applyFont="1"/>
  </cellXfs>
  <cellStyles count="2">
    <cellStyle name="Гіперпосилання" xfId="1" builtinId="8"/>
    <cellStyle name="Звичайний" xfId="0" builtinId="0"/>
  </cellStyles>
  <dxfs count="2">
    <dxf>
      <font>
        <b/>
        <color rgb="FF9C0006"/>
        <name val="Arial"/>
        <charset val="1"/>
      </font>
      <fill>
        <patternFill>
          <bgColor rgb="FFFFC7CE"/>
        </patternFill>
      </fill>
    </dxf>
    <dxf>
      <font>
        <b/>
        <color rgb="FF006100"/>
        <name val="Arial"/>
        <charset val="1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2C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C65911"/>
      <rgbColor rgb="FF595959"/>
      <rgbColor rgb="FF969696"/>
      <rgbColor rgb="FF1F3864"/>
      <rgbColor rgb="FF339966"/>
      <rgbColor rgb="FF006100"/>
      <rgbColor rgb="FF333300"/>
      <rgbColor rgb="FF993300"/>
      <rgbColor rgb="FF993366"/>
      <rgbColor rgb="FF30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italii Uliantsev" id="{83DA6CC3-273F-4E08-80F3-09D5CB3A0792}" userId="S::Vitalii.Uliantsev@ndi.gov.ua::79e69ed8-d4f3-438b-a0bf-97f36e8754c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5" dT="2026-05-13T14:29:19.80" personId="{83DA6CC3-273F-4E08-80F3-09D5CB3A0792}" id="{38DA754D-FE2F-4C16-BF6C-078F5EA3F401}">
    <text>CAPEX</text>
  </threadedComment>
</ThreadedComments>
</file>

<file path=xl/worksheets/_rels/sheet1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zoomScaleNormal="100" workbookViewId="0">
      <selection activeCell="E13" sqref="E13"/>
    </sheetView>
  </sheetViews>
  <sheetFormatPr defaultColWidth="8.7109375" defaultRowHeight="15" x14ac:dyDescent="0.25"/>
  <cols>
    <col min="1" max="4" width="22" customWidth="1"/>
    <col min="5" max="5" width="5.85546875" customWidth="1"/>
  </cols>
  <sheetData>
    <row r="1" spans="1:5" ht="20.25" x14ac:dyDescent="0.3">
      <c r="A1" s="92" t="s">
        <v>378</v>
      </c>
      <c r="B1" s="93"/>
      <c r="C1" s="93"/>
      <c r="D1" s="93"/>
      <c r="E1" s="93"/>
    </row>
    <row r="2" spans="1:5" x14ac:dyDescent="0.25">
      <c r="A2" s="87"/>
      <c r="B2" s="87"/>
      <c r="C2" s="87"/>
      <c r="D2" s="87"/>
      <c r="E2" s="87"/>
    </row>
    <row r="3" spans="1:5" ht="15.75" x14ac:dyDescent="0.25">
      <c r="A3" s="94" t="s">
        <v>379</v>
      </c>
      <c r="B3" s="94"/>
      <c r="C3" s="94"/>
      <c r="D3" s="94"/>
      <c r="E3" s="94"/>
    </row>
    <row r="4" spans="1:5" ht="15" customHeight="1" x14ac:dyDescent="0.25">
      <c r="A4" s="90" t="s">
        <v>0</v>
      </c>
      <c r="B4" s="90"/>
      <c r="C4" s="90"/>
      <c r="D4" s="90"/>
      <c r="E4" s="90"/>
    </row>
    <row r="5" spans="1:5" ht="30.75" customHeight="1" x14ac:dyDescent="0.25">
      <c r="A5" s="95" t="s">
        <v>376</v>
      </c>
      <c r="B5" s="95"/>
      <c r="C5" s="95"/>
      <c r="D5" s="95"/>
      <c r="E5" s="95"/>
    </row>
    <row r="6" spans="1:5" ht="15" customHeight="1" x14ac:dyDescent="0.25">
      <c r="A6" s="88" t="s">
        <v>300</v>
      </c>
      <c r="B6" s="88"/>
      <c r="C6" s="88"/>
      <c r="D6" s="88"/>
      <c r="E6" s="88"/>
    </row>
    <row r="7" spans="1:5" ht="15" customHeight="1" x14ac:dyDescent="0.25">
      <c r="A7" s="89" t="s">
        <v>301</v>
      </c>
      <c r="B7" s="89"/>
      <c r="C7" s="89"/>
      <c r="D7" s="89"/>
      <c r="E7" s="89"/>
    </row>
    <row r="8" spans="1:5" x14ac:dyDescent="0.25">
      <c r="A8" s="87"/>
      <c r="B8" s="87"/>
      <c r="C8" s="87"/>
      <c r="D8" s="87"/>
      <c r="E8" s="87"/>
    </row>
    <row r="9" spans="1:5" ht="15" customHeight="1" x14ac:dyDescent="0.25">
      <c r="A9" s="90" t="s">
        <v>1</v>
      </c>
      <c r="B9" s="90"/>
      <c r="C9" s="90"/>
      <c r="D9" s="90"/>
      <c r="E9" s="90"/>
    </row>
    <row r="10" spans="1:5" ht="15" customHeight="1" x14ac:dyDescent="0.25">
      <c r="A10" s="91" t="s">
        <v>2</v>
      </c>
      <c r="B10" s="87"/>
      <c r="C10" s="87"/>
      <c r="D10" s="87"/>
      <c r="E10" s="87"/>
    </row>
    <row r="11" spans="1:5" ht="15" customHeight="1" x14ac:dyDescent="0.25">
      <c r="A11" s="87" t="s">
        <v>3</v>
      </c>
      <c r="B11" s="87"/>
      <c r="C11" s="87"/>
      <c r="D11" s="87"/>
      <c r="E11" s="87"/>
    </row>
    <row r="12" spans="1:5" x14ac:dyDescent="0.25">
      <c r="A12" s="87"/>
      <c r="B12" s="87"/>
      <c r="C12" s="87"/>
      <c r="D12" s="87"/>
      <c r="E12" s="87"/>
    </row>
    <row r="13" spans="1:5" x14ac:dyDescent="0.25">
      <c r="E13" s="55" t="s">
        <v>302</v>
      </c>
    </row>
  </sheetData>
  <sheetProtection algorithmName="SHA-512" hashValue="6BoCY+HaT5lFP69nwyX+g8kOb4/nrPZzna5VcgbENz1nc+pWtRnTji768WDS5Kk5VNP4gre8nNok5JAvGzjqpg==" saltValue="VHB3EQJROgU589xYYMBrIw==" spinCount="100000" sheet="1" formatCells="0" insertColumns="0" insertRows="0" deleteColumns="0" deleteRows="0" selectLockedCells="1"/>
  <mergeCells count="12">
    <mergeCell ref="A1:E1"/>
    <mergeCell ref="A2:E2"/>
    <mergeCell ref="A3:E3"/>
    <mergeCell ref="A4:E4"/>
    <mergeCell ref="A5:E5"/>
    <mergeCell ref="A11:E11"/>
    <mergeCell ref="A12:E12"/>
    <mergeCell ref="A6:E6"/>
    <mergeCell ref="A7:E7"/>
    <mergeCell ref="A8:E8"/>
    <mergeCell ref="A9:E9"/>
    <mergeCell ref="A10:E10"/>
  </mergeCells>
  <hyperlinks>
    <hyperlink ref="E13" location="'01_Господарство'!A1" display="Далі" xr:uid="{842E489A-B1EA-47EA-BC12-690B00B246B9}"/>
  </hyperlinks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1"/>
  <sheetViews>
    <sheetView zoomScaleNormal="100" workbookViewId="0">
      <selection activeCell="A15" sqref="A15:D20"/>
    </sheetView>
  </sheetViews>
  <sheetFormatPr defaultColWidth="8.7109375" defaultRowHeight="15" x14ac:dyDescent="0.25"/>
  <cols>
    <col min="1" max="1" width="38" customWidth="1"/>
    <col min="2" max="2" width="18" customWidth="1"/>
    <col min="3" max="3" width="56.85546875" bestFit="1" customWidth="1"/>
  </cols>
  <sheetData>
    <row r="1" spans="1:3" ht="16.5" x14ac:dyDescent="0.25">
      <c r="A1" s="86" t="s">
        <v>134</v>
      </c>
      <c r="B1" s="86"/>
      <c r="C1" s="86"/>
    </row>
    <row r="3" spans="1:3" ht="16.5" x14ac:dyDescent="0.25">
      <c r="A3" s="9" t="s">
        <v>91</v>
      </c>
      <c r="B3" s="9" t="s">
        <v>135</v>
      </c>
      <c r="C3" s="9" t="s">
        <v>73</v>
      </c>
    </row>
    <row r="4" spans="1:3" x14ac:dyDescent="0.25">
      <c r="A4" s="1" t="s">
        <v>136</v>
      </c>
      <c r="B4" s="17">
        <f>CREDIT_AMOUNT</f>
        <v>0</v>
      </c>
      <c r="C4" s="18" t="s">
        <v>137</v>
      </c>
    </row>
    <row r="5" spans="1:3" x14ac:dyDescent="0.25">
      <c r="A5" s="1" t="s">
        <v>138</v>
      </c>
      <c r="B5" s="27">
        <f>CREDIT_TERM_M</f>
        <v>60</v>
      </c>
    </row>
    <row r="6" spans="1:3" x14ac:dyDescent="0.25">
      <c r="A6" s="19" t="s">
        <v>139</v>
      </c>
      <c r="B6" s="28">
        <f>CREDIT_TERM_M/12</f>
        <v>5</v>
      </c>
    </row>
    <row r="7" spans="1:3" x14ac:dyDescent="0.25">
      <c r="A7" s="19" t="s">
        <v>140</v>
      </c>
      <c r="B7" s="29">
        <f>CREDIT_RATE</f>
        <v>0.09</v>
      </c>
      <c r="C7" s="18" t="s">
        <v>141</v>
      </c>
    </row>
    <row r="8" spans="1:3" x14ac:dyDescent="0.25">
      <c r="A8" s="1" t="s">
        <v>142</v>
      </c>
      <c r="B8" s="20">
        <f>IFERROR(CREDIT_AMOUNT/(CREDIT_TERM_M/12), 0)</f>
        <v>0</v>
      </c>
      <c r="C8" s="18" t="s">
        <v>143</v>
      </c>
    </row>
    <row r="9" spans="1:3" x14ac:dyDescent="0.25">
      <c r="A9" s="1" t="s">
        <v>144</v>
      </c>
      <c r="B9" s="20">
        <f>IFERROR(CREDIT_AMOUNT*CREDIT_RATE*(CREDIT_TERM_M/12+1)/(2*CREDIT_TERM_M/12), 0)</f>
        <v>0</v>
      </c>
      <c r="C9" s="64" t="s">
        <v>373</v>
      </c>
    </row>
    <row r="10" spans="1:3" x14ac:dyDescent="0.25">
      <c r="A10" s="19" t="s">
        <v>145</v>
      </c>
      <c r="B10" s="16">
        <f>EQUIPMENT_COST*INSURANCE_RATE</f>
        <v>0</v>
      </c>
      <c r="C10" s="18" t="s">
        <v>146</v>
      </c>
    </row>
    <row r="11" spans="1:3" x14ac:dyDescent="0.25">
      <c r="A11" s="10" t="s">
        <v>147</v>
      </c>
      <c r="B11" s="14">
        <f>PRINCIPAL_ANNUAL+INTEREST_ANNUAL+INSURANCE_ANNUAL</f>
        <v>0</v>
      </c>
    </row>
  </sheetData>
  <sheetProtection formatCells="0" insertColumns="0" insertRows="0" deleteColumns="0" deleteRows="0" selectLockedCells="1" selectUnlockedCells="1"/>
  <mergeCells count="1">
    <mergeCell ref="A1:C1"/>
  </mergeCells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6"/>
  <sheetViews>
    <sheetView zoomScaleNormal="100" workbookViewId="0">
      <selection activeCell="A15" sqref="A15:D20"/>
    </sheetView>
  </sheetViews>
  <sheetFormatPr defaultColWidth="8.7109375" defaultRowHeight="15" x14ac:dyDescent="0.25"/>
  <cols>
    <col min="1" max="1" width="5" customWidth="1"/>
    <col min="2" max="2" width="40" customWidth="1"/>
    <col min="3" max="3" width="30" customWidth="1"/>
    <col min="4" max="9" width="13" customWidth="1"/>
  </cols>
  <sheetData>
    <row r="1" spans="1:9" ht="24" customHeight="1" x14ac:dyDescent="0.25">
      <c r="A1" s="86" t="s">
        <v>148</v>
      </c>
      <c r="B1" s="86"/>
      <c r="C1" s="86"/>
      <c r="D1" s="86"/>
      <c r="E1" s="86"/>
      <c r="F1" s="86"/>
      <c r="G1" s="86"/>
      <c r="H1" s="86"/>
      <c r="I1" s="86"/>
    </row>
    <row r="3" spans="1:9" ht="16.5" x14ac:dyDescent="0.25">
      <c r="A3" s="9" t="s">
        <v>90</v>
      </c>
      <c r="B3" s="9" t="s">
        <v>149</v>
      </c>
      <c r="C3" s="9" t="s">
        <v>150</v>
      </c>
      <c r="D3" s="9" t="s">
        <v>151</v>
      </c>
      <c r="E3" s="9" t="s">
        <v>152</v>
      </c>
      <c r="F3" s="9" t="s">
        <v>153</v>
      </c>
      <c r="G3" s="9" t="s">
        <v>154</v>
      </c>
      <c r="H3" s="9" t="s">
        <v>155</v>
      </c>
      <c r="I3" s="9" t="s">
        <v>156</v>
      </c>
    </row>
    <row r="4" spans="1:9" x14ac:dyDescent="0.25">
      <c r="A4" s="68" t="s">
        <v>110</v>
      </c>
      <c r="B4" s="30" t="s">
        <v>157</v>
      </c>
      <c r="C4" s="31" t="s">
        <v>158</v>
      </c>
      <c r="D4" s="17">
        <f>INCOME_PER_HA_BEFORE*PROJECT_AREA_HA</f>
        <v>0</v>
      </c>
      <c r="E4" s="32">
        <f>INCOME_PER_HA_AFTER*PROJECT_AREA_HA*(1+INFLATION)^(1-1)</f>
        <v>0</v>
      </c>
      <c r="F4" s="32">
        <f>INCOME_PER_HA_AFTER*PROJECT_AREA_HA*(1+INFLATION)^(2-1)</f>
        <v>0</v>
      </c>
      <c r="G4" s="32">
        <f>INCOME_PER_HA_AFTER*PROJECT_AREA_HA*(1+INFLATION)^(3-1)</f>
        <v>0</v>
      </c>
      <c r="H4" s="32">
        <f>INCOME_PER_HA_AFTER*PROJECT_AREA_HA*(1+INFLATION)^(4-1)</f>
        <v>0</v>
      </c>
      <c r="I4" s="32">
        <f>INCOME_PER_HA_AFTER*PROJECT_AREA_HA*(1+INFLATION)^(5-1)</f>
        <v>0</v>
      </c>
    </row>
    <row r="5" spans="1:9" x14ac:dyDescent="0.25">
      <c r="A5" s="68" t="s">
        <v>112</v>
      </c>
      <c r="B5" s="30" t="s">
        <v>159</v>
      </c>
      <c r="C5" s="31" t="s">
        <v>160</v>
      </c>
      <c r="D5" s="17">
        <f>DIRECT_COSTS_BEFORE*PROJECT_AREA_HA</f>
        <v>0</v>
      </c>
      <c r="E5" s="32">
        <f>DIRECT_COSTS_AFTER*PROJECT_AREA_HA*(1+INFLATION)^(1-1)</f>
        <v>0</v>
      </c>
      <c r="F5" s="32">
        <f>DIRECT_COSTS_AFTER*PROJECT_AREA_HA*(1+INFLATION)^(2-1)</f>
        <v>0</v>
      </c>
      <c r="G5" s="32">
        <f>DIRECT_COSTS_AFTER*PROJECT_AREA_HA*(1+INFLATION)^(3-1)</f>
        <v>0</v>
      </c>
      <c r="H5" s="32">
        <f>DIRECT_COSTS_AFTER*PROJECT_AREA_HA*(1+INFLATION)^(4-1)</f>
        <v>0</v>
      </c>
      <c r="I5" s="32">
        <f>DIRECT_COSTS_AFTER*PROJECT_AREA_HA*(1+INFLATION)^(5-1)</f>
        <v>0</v>
      </c>
    </row>
    <row r="6" spans="1:9" x14ac:dyDescent="0.25">
      <c r="A6" s="68" t="s">
        <v>161</v>
      </c>
      <c r="B6" s="30" t="s">
        <v>162</v>
      </c>
      <c r="C6" s="31" t="s">
        <v>163</v>
      </c>
      <c r="D6" s="17">
        <f>FIXED_COSTS_BEFORE</f>
        <v>0</v>
      </c>
      <c r="E6" s="32">
        <f>FIXED_COSTS_AFTER*(1+INFLATION)^(1-1)</f>
        <v>0</v>
      </c>
      <c r="F6" s="32">
        <f>FIXED_COSTS_AFTER*(1+INFLATION)^(2-1)</f>
        <v>0</v>
      </c>
      <c r="G6" s="32">
        <f>FIXED_COSTS_AFTER*(1+INFLATION)^(3-1)</f>
        <v>0</v>
      </c>
      <c r="H6" s="32">
        <f>FIXED_COSTS_AFTER*(1+INFLATION)^(4-1)</f>
        <v>0</v>
      </c>
      <c r="I6" s="32">
        <f>FIXED_COSTS_AFTER*(1+INFLATION)^(5-1)</f>
        <v>0</v>
      </c>
    </row>
    <row r="7" spans="1:9" x14ac:dyDescent="0.25">
      <c r="A7" s="72" t="s">
        <v>164</v>
      </c>
      <c r="B7" s="13" t="s">
        <v>165</v>
      </c>
      <c r="C7" s="33" t="s">
        <v>166</v>
      </c>
      <c r="D7" s="34">
        <f t="shared" ref="D7:I7" si="0">D4-D5-D6</f>
        <v>0</v>
      </c>
      <c r="E7" s="34">
        <f t="shared" si="0"/>
        <v>0</v>
      </c>
      <c r="F7" s="34">
        <f t="shared" si="0"/>
        <v>0</v>
      </c>
      <c r="G7" s="34">
        <f t="shared" si="0"/>
        <v>0</v>
      </c>
      <c r="H7" s="34">
        <f t="shared" si="0"/>
        <v>0</v>
      </c>
      <c r="I7" s="34">
        <f t="shared" si="0"/>
        <v>0</v>
      </c>
    </row>
    <row r="8" spans="1:9" x14ac:dyDescent="0.25">
      <c r="A8" s="68" t="s">
        <v>167</v>
      </c>
      <c r="B8" s="24" t="s">
        <v>168</v>
      </c>
      <c r="C8" s="31" t="s">
        <v>169</v>
      </c>
      <c r="D8" s="35">
        <f>IFERROR(D7/D4, 0)</f>
        <v>0</v>
      </c>
      <c r="E8" s="35">
        <f t="shared" ref="E8:I8" si="1">IFERROR(E7/E4, 0)</f>
        <v>0</v>
      </c>
      <c r="F8" s="35">
        <f t="shared" si="1"/>
        <v>0</v>
      </c>
      <c r="G8" s="35">
        <f t="shared" si="1"/>
        <v>0</v>
      </c>
      <c r="H8" s="35">
        <f t="shared" si="1"/>
        <v>0</v>
      </c>
      <c r="I8" s="35">
        <f t="shared" si="1"/>
        <v>0</v>
      </c>
    </row>
    <row r="9" spans="1:9" x14ac:dyDescent="0.25">
      <c r="A9" s="68" t="s">
        <v>170</v>
      </c>
      <c r="B9" s="24" t="s">
        <v>171</v>
      </c>
      <c r="C9" s="31" t="s">
        <v>172</v>
      </c>
      <c r="D9" s="16">
        <v>0</v>
      </c>
      <c r="E9" s="36">
        <f>IF(1&lt;=CREDIT_TERM_M/12, INTEREST_ANNUAL/1000, 0)</f>
        <v>0</v>
      </c>
      <c r="F9" s="36">
        <f>IF(2&lt;=CREDIT_TERM_M/12, INTEREST_ANNUAL/1000, 0)</f>
        <v>0</v>
      </c>
      <c r="G9" s="36">
        <f>IF(3&lt;=CREDIT_TERM_M/12, INTEREST_ANNUAL/1000, 0)</f>
        <v>0</v>
      </c>
      <c r="H9" s="36">
        <f>IF(4&lt;=CREDIT_TERM_M/12, INTEREST_ANNUAL/1000, 0)</f>
        <v>0</v>
      </c>
      <c r="I9" s="36">
        <f>IF(5&lt;=CREDIT_TERM_M/12, INTEREST_ANNUAL/1000, 0)</f>
        <v>0</v>
      </c>
    </row>
    <row r="10" spans="1:9" x14ac:dyDescent="0.25">
      <c r="A10" s="68" t="s">
        <v>173</v>
      </c>
      <c r="B10" s="30" t="s">
        <v>174</v>
      </c>
      <c r="C10" s="31" t="s">
        <v>175</v>
      </c>
      <c r="D10" s="37" t="str">
        <f>IFERROR(D7/D9, "-")</f>
        <v>-</v>
      </c>
      <c r="E10" s="37" t="str">
        <f>IFERROR(E7/E9, "-")</f>
        <v>-</v>
      </c>
      <c r="F10" s="37" t="str">
        <f t="shared" ref="F10:I10" si="2">IFERROR(F7/F9, "-")</f>
        <v>-</v>
      </c>
      <c r="G10" s="37" t="str">
        <f t="shared" si="2"/>
        <v>-</v>
      </c>
      <c r="H10" s="37" t="str">
        <f t="shared" si="2"/>
        <v>-</v>
      </c>
      <c r="I10" s="37" t="str">
        <f t="shared" si="2"/>
        <v>-</v>
      </c>
    </row>
    <row r="11" spans="1:9" x14ac:dyDescent="0.25">
      <c r="A11" s="68" t="s">
        <v>176</v>
      </c>
      <c r="B11" s="24" t="s">
        <v>177</v>
      </c>
      <c r="C11" s="31" t="s">
        <v>178</v>
      </c>
      <c r="D11" s="16">
        <v>0</v>
      </c>
      <c r="E11" s="32">
        <f>Y_CAPEX/1000</f>
        <v>0</v>
      </c>
      <c r="F11" s="16">
        <v>0</v>
      </c>
      <c r="G11" s="16">
        <v>0</v>
      </c>
      <c r="H11" s="16">
        <v>0</v>
      </c>
      <c r="I11" s="16">
        <v>0</v>
      </c>
    </row>
    <row r="12" spans="1:9" x14ac:dyDescent="0.25">
      <c r="A12" s="68" t="s">
        <v>179</v>
      </c>
      <c r="B12" s="24" t="s">
        <v>180</v>
      </c>
      <c r="C12" s="31" t="s">
        <v>181</v>
      </c>
      <c r="D12" s="16">
        <v>0</v>
      </c>
      <c r="E12" s="32">
        <f>'04_CAPEX'!$B$9/1000</f>
        <v>0</v>
      </c>
      <c r="F12" s="32">
        <f>'04_CAPEX'!$B$9/1000</f>
        <v>0</v>
      </c>
      <c r="G12" s="32">
        <f>'04_CAPEX'!$B$9/1000</f>
        <v>0</v>
      </c>
      <c r="H12" s="32">
        <f>'04_CAPEX'!$B$9/1000</f>
        <v>0</v>
      </c>
      <c r="I12" s="32">
        <f>'04_CAPEX'!$B$9/1000</f>
        <v>0</v>
      </c>
    </row>
    <row r="13" spans="1:9" x14ac:dyDescent="0.25">
      <c r="A13" s="68" t="s">
        <v>182</v>
      </c>
      <c r="B13" s="24" t="s">
        <v>183</v>
      </c>
      <c r="C13" s="31" t="s">
        <v>184</v>
      </c>
      <c r="D13" s="16">
        <v>0</v>
      </c>
      <c r="E13" s="16">
        <f>IF(1&lt;=CREDIT_TERM_M/12, PRINCIPAL_ANNUAL/1000, 0)</f>
        <v>0</v>
      </c>
      <c r="F13" s="16">
        <f>IF(2&lt;=CREDIT_TERM_M/12, PRINCIPAL_ANNUAL/1000, 0)</f>
        <v>0</v>
      </c>
      <c r="G13" s="16">
        <f>IF(3&lt;=CREDIT_TERM_M/12, PRINCIPAL_ANNUAL/1000, 0)</f>
        <v>0</v>
      </c>
      <c r="H13" s="16">
        <f>IF(4&lt;=CREDIT_TERM_M/12, PRINCIPAL_ANNUAL/1000, 0)</f>
        <v>0</v>
      </c>
      <c r="I13" s="16">
        <f>IF(5&lt;=CREDIT_TERM_M/12, PRINCIPAL_ANNUAL/1000, 0)</f>
        <v>0</v>
      </c>
    </row>
    <row r="14" spans="1:9" ht="24" x14ac:dyDescent="0.25">
      <c r="A14" s="68" t="s">
        <v>185</v>
      </c>
      <c r="B14" s="24" t="s">
        <v>186</v>
      </c>
      <c r="C14" s="31" t="s">
        <v>187</v>
      </c>
      <c r="D14" s="16">
        <v>0</v>
      </c>
      <c r="E14" s="16">
        <f>MAX(E7-E9, 0)*TAX_RATE</f>
        <v>0</v>
      </c>
      <c r="F14" s="16">
        <f>MAX(F7-F9, 0)*TAX_RATE</f>
        <v>0</v>
      </c>
      <c r="G14" s="16">
        <f>MAX(G7-G9, 0)*TAX_RATE</f>
        <v>0</v>
      </c>
      <c r="H14" s="16">
        <f>MAX(H7-H9, 0)*TAX_RATE</f>
        <v>0</v>
      </c>
      <c r="I14" s="16">
        <f>MAX(I7-I9, 0)*TAX_RATE</f>
        <v>0</v>
      </c>
    </row>
    <row r="15" spans="1:9" ht="36" x14ac:dyDescent="0.25">
      <c r="A15" s="72" t="s">
        <v>188</v>
      </c>
      <c r="B15" s="13" t="s">
        <v>189</v>
      </c>
      <c r="C15" s="33" t="s">
        <v>190</v>
      </c>
      <c r="D15" s="34">
        <f>-Y_CAPEX/1000</f>
        <v>0</v>
      </c>
      <c r="E15" s="34">
        <f>E7-E9-E12-E13-E14</f>
        <v>0</v>
      </c>
      <c r="F15" s="34">
        <f>F7-F9-F12-F13-F14</f>
        <v>0</v>
      </c>
      <c r="G15" s="34">
        <f>G7-G9-G12-G13-G14</f>
        <v>0</v>
      </c>
      <c r="H15" s="34">
        <f>H7-H9-H12-H13-H14</f>
        <v>0</v>
      </c>
      <c r="I15" s="34">
        <f>I7-I9-I12-I13-I14</f>
        <v>0</v>
      </c>
    </row>
    <row r="16" spans="1:9" x14ac:dyDescent="0.25">
      <c r="A16" s="68" t="s">
        <v>191</v>
      </c>
      <c r="B16" s="24" t="s">
        <v>192</v>
      </c>
      <c r="C16" s="31" t="s">
        <v>193</v>
      </c>
      <c r="E16" s="38">
        <f>E15-E11</f>
        <v>0</v>
      </c>
      <c r="F16" s="38">
        <f>E16+F15-F11</f>
        <v>0</v>
      </c>
      <c r="G16" s="38">
        <f>F16+G15-G11</f>
        <v>0</v>
      </c>
      <c r="H16" s="38">
        <f>G16+H15-H11</f>
        <v>0</v>
      </c>
      <c r="I16" s="38">
        <f>H16+I15-I11</f>
        <v>0</v>
      </c>
    </row>
  </sheetData>
  <sheetProtection formatCells="0" insertColumns="0" insertRows="0" deleteColumns="0" deleteRows="0" selectLockedCells="1" selectUnlockedCells="1"/>
  <mergeCells count="1">
    <mergeCell ref="A1:I1"/>
  </mergeCells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zoomScaleNormal="100" workbookViewId="0">
      <selection activeCell="A15" sqref="A15:D20"/>
    </sheetView>
  </sheetViews>
  <sheetFormatPr defaultColWidth="8.7109375" defaultRowHeight="15" x14ac:dyDescent="0.25"/>
  <cols>
    <col min="1" max="1" width="42" customWidth="1"/>
    <col min="2" max="2" width="22" customWidth="1"/>
    <col min="3" max="3" width="12" customWidth="1"/>
    <col min="4" max="4" width="24" customWidth="1"/>
    <col min="5" max="5" width="16" customWidth="1"/>
  </cols>
  <sheetData>
    <row r="1" spans="1:5" ht="24" customHeight="1" x14ac:dyDescent="0.25">
      <c r="A1" s="86" t="s">
        <v>194</v>
      </c>
      <c r="B1" s="86"/>
      <c r="C1" s="86"/>
      <c r="D1" s="86"/>
      <c r="E1" s="86"/>
    </row>
    <row r="2" spans="1:5" x14ac:dyDescent="0.25">
      <c r="A2" s="109" t="s">
        <v>195</v>
      </c>
      <c r="B2" s="109"/>
      <c r="C2" s="109"/>
      <c r="D2" s="109"/>
      <c r="E2" s="109"/>
    </row>
    <row r="4" spans="1:5" ht="16.5" x14ac:dyDescent="0.25">
      <c r="A4" s="9" t="s">
        <v>149</v>
      </c>
      <c r="B4" s="9" t="s">
        <v>135</v>
      </c>
      <c r="C4" s="9" t="s">
        <v>196</v>
      </c>
      <c r="D4" s="9" t="s">
        <v>197</v>
      </c>
      <c r="E4" s="9" t="s">
        <v>198</v>
      </c>
    </row>
    <row r="5" spans="1:5" ht="21.75" customHeight="1" x14ac:dyDescent="0.25">
      <c r="A5" s="30" t="s">
        <v>199</v>
      </c>
      <c r="B5" s="39">
        <f>Y_CAPEX</f>
        <v>0</v>
      </c>
      <c r="C5" s="40" t="s">
        <v>200</v>
      </c>
      <c r="D5" s="41" t="s">
        <v>201</v>
      </c>
      <c r="E5" s="26" t="s">
        <v>201</v>
      </c>
    </row>
    <row r="6" spans="1:5" ht="21.75" customHeight="1" x14ac:dyDescent="0.25">
      <c r="A6" s="30" t="s">
        <v>202</v>
      </c>
      <c r="B6" s="39">
        <f>X_OWN</f>
        <v>0</v>
      </c>
      <c r="C6" s="40" t="s">
        <v>200</v>
      </c>
      <c r="D6" s="41" t="s">
        <v>201</v>
      </c>
      <c r="E6" s="26" t="s">
        <v>201</v>
      </c>
    </row>
    <row r="7" spans="1:5" ht="21.75" customHeight="1" x14ac:dyDescent="0.25">
      <c r="A7" s="30" t="s">
        <v>203</v>
      </c>
      <c r="B7" s="39">
        <f>GRANT</f>
        <v>0</v>
      </c>
      <c r="C7" s="40" t="s">
        <v>200</v>
      </c>
      <c r="D7" s="41" t="s">
        <v>204</v>
      </c>
      <c r="E7" s="26" t="s">
        <v>201</v>
      </c>
    </row>
    <row r="8" spans="1:5" ht="21.75" customHeight="1" x14ac:dyDescent="0.25">
      <c r="A8" s="30" t="s">
        <v>205</v>
      </c>
      <c r="B8" s="39">
        <f>CREDIT_AMOUNT</f>
        <v>0</v>
      </c>
      <c r="C8" s="40" t="s">
        <v>200</v>
      </c>
      <c r="D8" s="41" t="s">
        <v>201</v>
      </c>
      <c r="E8" s="26" t="s">
        <v>201</v>
      </c>
    </row>
    <row r="9" spans="1:5" ht="21.75" customHeight="1" x14ac:dyDescent="0.25">
      <c r="A9" s="30" t="s">
        <v>206</v>
      </c>
      <c r="B9" s="42">
        <f>RISK_LOSSES_AVOIDED + INCOME_PER_HA_GAIN*PROJECT_AREA_HA</f>
        <v>0</v>
      </c>
      <c r="C9" s="40" t="s">
        <v>207</v>
      </c>
      <c r="D9" s="41" t="s">
        <v>208</v>
      </c>
      <c r="E9" s="43" t="str">
        <f>IF(B9&gt;0,"OK","УВАГА")</f>
        <v>УВАГА</v>
      </c>
    </row>
    <row r="10" spans="1:5" ht="21.75" customHeight="1" x14ac:dyDescent="0.25">
      <c r="A10" s="30" t="s">
        <v>209</v>
      </c>
      <c r="B10" s="44" t="str">
        <f>IFERROR(Y_CAPEX/1000/B9, "н/д")</f>
        <v>н/д</v>
      </c>
      <c r="C10" s="40" t="s">
        <v>210</v>
      </c>
      <c r="D10" s="41" t="s">
        <v>211</v>
      </c>
      <c r="E10" s="43" t="str">
        <f>IF(AND(ISNUMBER(B10), B10&lt;=5), "OK", "УВАГА")</f>
        <v>УВАГА</v>
      </c>
    </row>
    <row r="11" spans="1:5" ht="21.75" customHeight="1" x14ac:dyDescent="0.25">
      <c r="A11" s="30" t="s">
        <v>212</v>
      </c>
      <c r="B11" s="39">
        <f>EBITDA_Y1</f>
        <v>0</v>
      </c>
      <c r="C11" s="40" t="s">
        <v>213</v>
      </c>
      <c r="D11" s="41" t="s">
        <v>208</v>
      </c>
      <c r="E11" s="43" t="str">
        <f>IF(B11&gt;0,"OK","УВАГА")</f>
        <v>УВАГА</v>
      </c>
    </row>
    <row r="12" spans="1:5" ht="21.75" customHeight="1" x14ac:dyDescent="0.25">
      <c r="A12" s="30" t="s">
        <v>214</v>
      </c>
      <c r="B12" s="45" t="str">
        <f>'10_Модель_5р'!E10</f>
        <v>-</v>
      </c>
      <c r="C12" s="40" t="s">
        <v>215</v>
      </c>
      <c r="D12" s="41" t="s">
        <v>216</v>
      </c>
      <c r="E12" s="43" t="str">
        <f>IF(AND(ISNUMBER(B12), B12&gt;=1.5), "OK", "УВАГА")</f>
        <v>УВАГА</v>
      </c>
    </row>
    <row r="13" spans="1:5" ht="21.75" customHeight="1" x14ac:dyDescent="0.25">
      <c r="A13" s="30" t="s">
        <v>217</v>
      </c>
      <c r="B13" s="45" t="str">
        <f>IFERROR(EBITDA_Y1*1000/DEBT_SERVICE_ANNUAL, "н/д")</f>
        <v>н/д</v>
      </c>
      <c r="C13" s="40" t="s">
        <v>215</v>
      </c>
      <c r="D13" s="41" t="s">
        <v>218</v>
      </c>
      <c r="E13" s="43" t="str">
        <f>IF(AND(ISNUMBER(B13), B13&gt;=1.2), "OK", "УВАГА")</f>
        <v>УВАГА</v>
      </c>
    </row>
    <row r="14" spans="1:5" ht="21.75" customHeight="1" x14ac:dyDescent="0.25">
      <c r="A14" s="30" t="s">
        <v>219</v>
      </c>
      <c r="B14" s="39">
        <f>NPV(DISCOUNT_RATE, CASH_FLOWS_Y1_Y5)*1000 - Y_CAPEX</f>
        <v>0</v>
      </c>
      <c r="C14" s="40" t="s">
        <v>200</v>
      </c>
      <c r="D14" s="41" t="s">
        <v>208</v>
      </c>
      <c r="E14" s="43" t="str">
        <f>IF(B14&gt;0,"OK","УВАГА")</f>
        <v>УВАГА</v>
      </c>
    </row>
    <row r="15" spans="1:5" ht="21.75" customHeight="1" x14ac:dyDescent="0.25">
      <c r="A15" s="30" t="s">
        <v>220</v>
      </c>
      <c r="B15" s="42">
        <f>RISK_LOSSES_AVOIDED</f>
        <v>0</v>
      </c>
      <c r="C15" s="40" t="s">
        <v>207</v>
      </c>
      <c r="D15" s="41" t="s">
        <v>201</v>
      </c>
      <c r="E15" s="26" t="s">
        <v>201</v>
      </c>
    </row>
    <row r="16" spans="1:5" x14ac:dyDescent="0.25">
      <c r="A16" s="73" t="s">
        <v>374</v>
      </c>
      <c r="B16" s="75" t="str">
        <f>IFERROR((IRR('10_Модель_5р'!D15:I15)), "н/д")</f>
        <v>н/д</v>
      </c>
      <c r="C16" s="74" t="s">
        <v>375</v>
      </c>
      <c r="D16" s="41" t="str">
        <f>"&gt;"&amp;TEXT(DISCOUNT_RATE, "0,0%")</f>
        <v>&gt;13,4%</v>
      </c>
      <c r="E16" s="43" t="str">
        <f>IF(AND(ISNUMBER(B16), B16&gt;=DISCOUNT_RATE), "OK", "УВАГА")</f>
        <v>УВАГА</v>
      </c>
    </row>
  </sheetData>
  <sheetProtection formatCells="0" insertColumns="0" insertRows="0" deleteColumns="0" deleteRows="0" selectLockedCells="1" selectUnlockedCells="1"/>
  <mergeCells count="2">
    <mergeCell ref="A1:E1"/>
    <mergeCell ref="A2:E2"/>
  </mergeCells>
  <conditionalFormatting sqref="E5:E16">
    <cfRule type="cellIs" dxfId="1" priority="2" operator="equal">
      <formula>"OK"</formula>
    </cfRule>
    <cfRule type="cellIs" dxfId="0" priority="3" operator="equal">
      <formula>"УВАГА"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2"/>
  <sheetViews>
    <sheetView zoomScaleNormal="100" workbookViewId="0">
      <selection activeCell="D26" sqref="D26"/>
    </sheetView>
  </sheetViews>
  <sheetFormatPr defaultColWidth="8.7109375" defaultRowHeight="15" x14ac:dyDescent="0.25"/>
  <cols>
    <col min="1" max="1" width="20" customWidth="1"/>
    <col min="2" max="2" width="14" customWidth="1"/>
    <col min="3" max="3" width="74.7109375" customWidth="1"/>
  </cols>
  <sheetData>
    <row r="1" spans="1:3" ht="20.25" x14ac:dyDescent="0.3">
      <c r="A1" s="93" t="s">
        <v>221</v>
      </c>
      <c r="B1" s="93"/>
      <c r="C1" s="93"/>
    </row>
    <row r="3" spans="1:3" ht="16.5" x14ac:dyDescent="0.25">
      <c r="A3" s="46" t="s">
        <v>222</v>
      </c>
      <c r="B3" s="46" t="s">
        <v>135</v>
      </c>
      <c r="C3" s="46" t="s">
        <v>223</v>
      </c>
    </row>
    <row r="4" spans="1:3" x14ac:dyDescent="0.25">
      <c r="A4" s="1" t="s">
        <v>224</v>
      </c>
      <c r="B4" s="47">
        <v>45.5</v>
      </c>
      <c r="C4" s="48" t="s">
        <v>225</v>
      </c>
    </row>
    <row r="5" spans="1:3" x14ac:dyDescent="0.25">
      <c r="A5" s="1" t="s">
        <v>226</v>
      </c>
      <c r="B5" s="49">
        <v>10000</v>
      </c>
      <c r="C5" s="48" t="s">
        <v>227</v>
      </c>
    </row>
    <row r="6" spans="1:3" x14ac:dyDescent="0.25">
      <c r="A6" s="1" t="s">
        <v>228</v>
      </c>
      <c r="B6" s="50">
        <v>0.2</v>
      </c>
      <c r="C6" s="48" t="s">
        <v>229</v>
      </c>
    </row>
    <row r="7" spans="1:3" x14ac:dyDescent="0.25">
      <c r="A7" s="1" t="s">
        <v>230</v>
      </c>
      <c r="B7" s="50">
        <v>0.09</v>
      </c>
      <c r="C7" s="48" t="s">
        <v>231</v>
      </c>
    </row>
    <row r="8" spans="1:3" x14ac:dyDescent="0.25">
      <c r="A8" s="1" t="s">
        <v>232</v>
      </c>
      <c r="B8" s="50">
        <v>0.13400000000000001</v>
      </c>
      <c r="C8" s="48" t="s">
        <v>233</v>
      </c>
    </row>
    <row r="9" spans="1:3" x14ac:dyDescent="0.25">
      <c r="A9" s="1" t="s">
        <v>234</v>
      </c>
      <c r="B9" s="50">
        <v>0.05</v>
      </c>
      <c r="C9" s="48" t="s">
        <v>235</v>
      </c>
    </row>
    <row r="10" spans="1:3" x14ac:dyDescent="0.25">
      <c r="A10" s="1" t="s">
        <v>236</v>
      </c>
      <c r="B10" s="50">
        <v>0.18</v>
      </c>
      <c r="C10" s="48" t="s">
        <v>237</v>
      </c>
    </row>
    <row r="11" spans="1:3" x14ac:dyDescent="0.25">
      <c r="A11" s="1" t="s">
        <v>238</v>
      </c>
      <c r="B11" s="50">
        <v>0.1</v>
      </c>
      <c r="C11" s="48" t="s">
        <v>239</v>
      </c>
    </row>
    <row r="12" spans="1:3" x14ac:dyDescent="0.25">
      <c r="A12" s="1" t="s">
        <v>240</v>
      </c>
      <c r="B12" s="51">
        <v>5</v>
      </c>
      <c r="C12" s="48" t="s">
        <v>241</v>
      </c>
    </row>
  </sheetData>
  <sheetProtection formatCells="0" insertColumns="0" insertRows="0" deleteColumns="0" deleteRows="0" selectLockedCells="1" selectUnlockedCells="1"/>
  <mergeCells count="1">
    <mergeCell ref="A1:C1"/>
  </mergeCells>
  <pageMargins left="0.75" right="0.75" top="1" bottom="1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8"/>
  <sheetViews>
    <sheetView zoomScaleNormal="100" workbookViewId="0"/>
  </sheetViews>
  <sheetFormatPr defaultColWidth="8.7109375" defaultRowHeight="15" x14ac:dyDescent="0.25"/>
  <cols>
    <col min="1" max="10" width="28" customWidth="1"/>
  </cols>
  <sheetData>
    <row r="1" spans="1:10" ht="20.25" x14ac:dyDescent="0.3">
      <c r="A1" s="93" t="s">
        <v>242</v>
      </c>
      <c r="B1" s="93"/>
      <c r="C1" s="93"/>
      <c r="D1" s="93"/>
      <c r="E1" s="93"/>
      <c r="F1" s="93"/>
    </row>
    <row r="3" spans="1:10" x14ac:dyDescent="0.25">
      <c r="A3" s="52" t="s">
        <v>243</v>
      </c>
      <c r="B3" s="52" t="s">
        <v>244</v>
      </c>
      <c r="C3" s="52" t="s">
        <v>245</v>
      </c>
      <c r="D3" s="52" t="s">
        <v>246</v>
      </c>
      <c r="E3" s="52" t="s">
        <v>247</v>
      </c>
      <c r="F3" s="52" t="s">
        <v>248</v>
      </c>
      <c r="G3" s="52" t="s">
        <v>249</v>
      </c>
      <c r="H3" s="52" t="s">
        <v>250</v>
      </c>
      <c r="I3" s="52" t="s">
        <v>251</v>
      </c>
      <c r="J3" s="52" t="s">
        <v>252</v>
      </c>
    </row>
    <row r="4" spans="1:10" x14ac:dyDescent="0.25">
      <c r="A4" t="s">
        <v>253</v>
      </c>
      <c r="B4" t="s">
        <v>254</v>
      </c>
      <c r="C4" t="s">
        <v>15</v>
      </c>
      <c r="D4" t="s">
        <v>255</v>
      </c>
      <c r="E4" t="s">
        <v>255</v>
      </c>
      <c r="F4" t="s">
        <v>256</v>
      </c>
      <c r="G4" t="s">
        <v>257</v>
      </c>
      <c r="H4" t="s">
        <v>258</v>
      </c>
      <c r="I4" t="s">
        <v>259</v>
      </c>
      <c r="J4" t="s">
        <v>16</v>
      </c>
    </row>
    <row r="5" spans="1:10" x14ac:dyDescent="0.25">
      <c r="A5" t="s">
        <v>260</v>
      </c>
      <c r="B5" t="s">
        <v>261</v>
      </c>
      <c r="C5" t="s">
        <v>17</v>
      </c>
      <c r="D5" t="s">
        <v>262</v>
      </c>
      <c r="E5" t="s">
        <v>262</v>
      </c>
      <c r="F5" t="s">
        <v>263</v>
      </c>
      <c r="G5" t="s">
        <v>264</v>
      </c>
      <c r="H5" t="s">
        <v>265</v>
      </c>
      <c r="I5" t="s">
        <v>266</v>
      </c>
      <c r="J5" t="s">
        <v>267</v>
      </c>
    </row>
    <row r="6" spans="1:10" x14ac:dyDescent="0.25">
      <c r="A6" t="s">
        <v>268</v>
      </c>
      <c r="B6" t="s">
        <v>269</v>
      </c>
      <c r="C6" t="s">
        <v>18</v>
      </c>
      <c r="E6" t="s">
        <v>270</v>
      </c>
      <c r="F6" t="s">
        <v>271</v>
      </c>
      <c r="G6" t="s">
        <v>272</v>
      </c>
      <c r="H6" t="s">
        <v>262</v>
      </c>
      <c r="I6" t="s">
        <v>273</v>
      </c>
    </row>
    <row r="7" spans="1:10" x14ac:dyDescent="0.25">
      <c r="A7" t="s">
        <v>274</v>
      </c>
      <c r="B7" t="s">
        <v>275</v>
      </c>
      <c r="C7" t="s">
        <v>19</v>
      </c>
      <c r="G7" t="s">
        <v>276</v>
      </c>
    </row>
    <row r="8" spans="1:10" x14ac:dyDescent="0.25">
      <c r="A8" t="s">
        <v>277</v>
      </c>
      <c r="B8" t="s">
        <v>278</v>
      </c>
    </row>
    <row r="9" spans="1:10" x14ac:dyDescent="0.25">
      <c r="A9" t="s">
        <v>279</v>
      </c>
      <c r="B9" t="s">
        <v>280</v>
      </c>
    </row>
    <row r="10" spans="1:10" x14ac:dyDescent="0.25">
      <c r="A10" t="s">
        <v>281</v>
      </c>
    </row>
    <row r="11" spans="1:10" x14ac:dyDescent="0.25">
      <c r="A11" t="s">
        <v>282</v>
      </c>
    </row>
    <row r="12" spans="1:10" x14ac:dyDescent="0.25">
      <c r="A12" t="s">
        <v>283</v>
      </c>
    </row>
    <row r="13" spans="1:10" x14ac:dyDescent="0.25">
      <c r="A13" t="s">
        <v>284</v>
      </c>
    </row>
    <row r="14" spans="1:10" x14ac:dyDescent="0.25">
      <c r="A14" t="s">
        <v>285</v>
      </c>
    </row>
    <row r="15" spans="1:10" x14ac:dyDescent="0.25">
      <c r="A15" t="s">
        <v>286</v>
      </c>
    </row>
    <row r="16" spans="1:10" x14ac:dyDescent="0.25">
      <c r="A16" t="s">
        <v>287</v>
      </c>
    </row>
    <row r="17" spans="1:1" x14ac:dyDescent="0.25">
      <c r="A17" t="s">
        <v>288</v>
      </c>
    </row>
    <row r="18" spans="1:1" x14ac:dyDescent="0.25">
      <c r="A18" t="s">
        <v>289</v>
      </c>
    </row>
    <row r="19" spans="1:1" x14ac:dyDescent="0.25">
      <c r="A19" t="s">
        <v>290</v>
      </c>
    </row>
    <row r="20" spans="1:1" x14ac:dyDescent="0.25">
      <c r="A20" t="s">
        <v>291</v>
      </c>
    </row>
    <row r="21" spans="1:1" x14ac:dyDescent="0.25">
      <c r="A21" t="s">
        <v>292</v>
      </c>
    </row>
    <row r="22" spans="1:1" x14ac:dyDescent="0.25">
      <c r="A22" t="s">
        <v>293</v>
      </c>
    </row>
    <row r="23" spans="1:1" x14ac:dyDescent="0.25">
      <c r="A23" t="s">
        <v>294</v>
      </c>
    </row>
    <row r="24" spans="1:1" x14ac:dyDescent="0.25">
      <c r="A24" t="s">
        <v>295</v>
      </c>
    </row>
    <row r="25" spans="1:1" x14ac:dyDescent="0.25">
      <c r="A25" t="s">
        <v>296</v>
      </c>
    </row>
    <row r="26" spans="1:1" x14ac:dyDescent="0.25">
      <c r="A26" t="s">
        <v>297</v>
      </c>
    </row>
    <row r="27" spans="1:1" x14ac:dyDescent="0.25">
      <c r="A27" t="s">
        <v>298</v>
      </c>
    </row>
    <row r="28" spans="1:1" x14ac:dyDescent="0.25">
      <c r="A28" t="s">
        <v>299</v>
      </c>
    </row>
  </sheetData>
  <sheetProtection sheet="1" formatCells="0" insertColumns="0" insertRows="0" deleteColumns="0" deleteRows="0" selectLockedCells="1" selectUnlockedCells="1"/>
  <mergeCells count="1">
    <mergeCell ref="A1:F1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topLeftCell="A25" zoomScaleNormal="100" workbookViewId="0">
      <selection activeCell="D47" sqref="D47"/>
    </sheetView>
  </sheetViews>
  <sheetFormatPr defaultColWidth="8.7109375" defaultRowHeight="15" x14ac:dyDescent="0.25"/>
  <cols>
    <col min="1" max="1" width="40" customWidth="1"/>
    <col min="2" max="7" width="18" customWidth="1"/>
  </cols>
  <sheetData>
    <row r="1" spans="1:7" ht="24" customHeight="1" x14ac:dyDescent="0.25">
      <c r="A1" s="86" t="s">
        <v>4</v>
      </c>
      <c r="B1" s="86"/>
      <c r="C1" s="86"/>
      <c r="D1" s="86"/>
      <c r="E1" s="86"/>
      <c r="F1" s="86"/>
      <c r="G1" s="86"/>
    </row>
    <row r="3" spans="1:7" ht="19.5" customHeight="1" x14ac:dyDescent="0.25">
      <c r="A3" s="83" t="s">
        <v>5</v>
      </c>
      <c r="B3" s="83"/>
      <c r="C3" s="83"/>
      <c r="D3" s="83"/>
      <c r="E3" s="83"/>
      <c r="F3" s="83"/>
      <c r="G3" s="83"/>
    </row>
    <row r="4" spans="1:7" ht="15" customHeight="1" x14ac:dyDescent="0.25">
      <c r="A4" s="79" t="s">
        <v>6</v>
      </c>
      <c r="B4" s="79"/>
      <c r="C4" s="79"/>
      <c r="D4" s="80"/>
      <c r="E4" s="80"/>
      <c r="F4" s="80"/>
      <c r="G4" s="81"/>
    </row>
    <row r="5" spans="1:7" ht="15" customHeight="1" x14ac:dyDescent="0.25">
      <c r="A5" s="79" t="s">
        <v>7</v>
      </c>
      <c r="B5" s="79"/>
      <c r="C5" s="79"/>
      <c r="D5" s="80"/>
      <c r="E5" s="80"/>
      <c r="F5" s="80"/>
      <c r="G5" s="81"/>
    </row>
    <row r="6" spans="1:7" ht="15" customHeight="1" x14ac:dyDescent="0.25">
      <c r="A6" s="79" t="s">
        <v>8</v>
      </c>
      <c r="B6" s="79"/>
      <c r="C6" s="79"/>
      <c r="D6" s="80"/>
      <c r="E6" s="80"/>
      <c r="F6" s="80"/>
      <c r="G6" s="81"/>
    </row>
    <row r="7" spans="1:7" ht="15" customHeight="1" x14ac:dyDescent="0.25">
      <c r="A7" s="79" t="s">
        <v>9</v>
      </c>
      <c r="B7" s="79"/>
      <c r="C7" s="79"/>
      <c r="D7" s="80"/>
      <c r="E7" s="80"/>
      <c r="F7" s="80"/>
      <c r="G7" s="81"/>
    </row>
    <row r="8" spans="1:7" ht="15" customHeight="1" x14ac:dyDescent="0.25">
      <c r="A8" s="79" t="s">
        <v>10</v>
      </c>
      <c r="B8" s="79"/>
      <c r="C8" s="79"/>
      <c r="D8" s="80"/>
      <c r="E8" s="80"/>
      <c r="F8" s="80"/>
      <c r="G8" s="81"/>
    </row>
    <row r="9" spans="1:7" ht="15" customHeight="1" x14ac:dyDescent="0.25">
      <c r="A9" s="78" t="s">
        <v>303</v>
      </c>
      <c r="B9" s="79"/>
      <c r="C9" s="79"/>
      <c r="D9" s="80"/>
      <c r="E9" s="80"/>
      <c r="F9" s="80"/>
      <c r="G9" s="81"/>
    </row>
    <row r="10" spans="1:7" ht="15" customHeight="1" x14ac:dyDescent="0.25">
      <c r="A10" s="79" t="s">
        <v>11</v>
      </c>
      <c r="B10" s="79"/>
      <c r="C10" s="79"/>
      <c r="D10" s="84"/>
      <c r="E10" s="84"/>
      <c r="F10" s="84"/>
      <c r="G10" s="85"/>
    </row>
    <row r="11" spans="1:7" ht="15" customHeight="1" x14ac:dyDescent="0.25">
      <c r="A11" s="78" t="s">
        <v>304</v>
      </c>
      <c r="B11" s="79"/>
      <c r="C11" s="79"/>
      <c r="D11" s="80"/>
      <c r="E11" s="80"/>
      <c r="F11" s="80"/>
      <c r="G11" s="81"/>
    </row>
    <row r="13" spans="1:7" ht="19.5" customHeight="1" x14ac:dyDescent="0.25">
      <c r="A13" s="83" t="s">
        <v>12</v>
      </c>
      <c r="B13" s="83"/>
      <c r="C13" s="83"/>
      <c r="D13" s="83"/>
      <c r="E13" s="83"/>
      <c r="F13" s="83"/>
      <c r="G13" s="83"/>
    </row>
    <row r="14" spans="1:7" x14ac:dyDescent="0.25">
      <c r="A14" s="2" t="s">
        <v>13</v>
      </c>
      <c r="B14" s="2" t="s">
        <v>14</v>
      </c>
    </row>
    <row r="15" spans="1:7" x14ac:dyDescent="0.25">
      <c r="A15" s="56" t="s">
        <v>15</v>
      </c>
      <c r="B15" s="3" t="s">
        <v>16</v>
      </c>
    </row>
    <row r="16" spans="1:7" x14ac:dyDescent="0.25">
      <c r="A16" s="57" t="s">
        <v>17</v>
      </c>
      <c r="B16" s="76" t="s">
        <v>16</v>
      </c>
    </row>
    <row r="17" spans="1:7" x14ac:dyDescent="0.25">
      <c r="A17" s="57" t="s">
        <v>18</v>
      </c>
      <c r="B17" s="3" t="s">
        <v>16</v>
      </c>
    </row>
    <row r="18" spans="1:7" x14ac:dyDescent="0.25">
      <c r="A18" s="57" t="s">
        <v>19</v>
      </c>
      <c r="B18" s="3" t="s">
        <v>16</v>
      </c>
    </row>
    <row r="20" spans="1:7" ht="15" customHeight="1" x14ac:dyDescent="0.25">
      <c r="A20" s="60" t="s">
        <v>305</v>
      </c>
      <c r="B20" s="58"/>
      <c r="C20" s="59"/>
    </row>
    <row r="22" spans="1:7" ht="19.5" customHeight="1" x14ac:dyDescent="0.25">
      <c r="A22" s="82" t="s">
        <v>306</v>
      </c>
      <c r="B22" s="83"/>
      <c r="C22" s="83"/>
      <c r="D22" s="83"/>
      <c r="E22" s="83"/>
      <c r="F22" s="83"/>
      <c r="G22" s="83"/>
    </row>
    <row r="23" spans="1:7" ht="27.75" customHeight="1" x14ac:dyDescent="0.25">
      <c r="A23" s="77" t="s">
        <v>383</v>
      </c>
      <c r="B23" s="77"/>
      <c r="C23" s="77"/>
      <c r="D23" s="77"/>
      <c r="E23" s="77"/>
      <c r="F23" s="77"/>
      <c r="G23" s="77"/>
    </row>
    <row r="24" spans="1:7" x14ac:dyDescent="0.25">
      <c r="A24" s="2" t="s">
        <v>20</v>
      </c>
      <c r="B24" s="2" t="s">
        <v>384</v>
      </c>
      <c r="C24" s="2" t="s">
        <v>21</v>
      </c>
      <c r="D24" s="2" t="s">
        <v>385</v>
      </c>
      <c r="E24" s="2" t="s">
        <v>22</v>
      </c>
      <c r="F24" s="2" t="s">
        <v>386</v>
      </c>
      <c r="G24" s="2" t="s">
        <v>23</v>
      </c>
    </row>
    <row r="25" spans="1:7" x14ac:dyDescent="0.25">
      <c r="A25" s="62" t="s">
        <v>316</v>
      </c>
      <c r="B25" s="5"/>
      <c r="C25" s="5"/>
      <c r="D25" s="5"/>
      <c r="E25" s="5"/>
      <c r="F25" s="5"/>
      <c r="G25" s="5"/>
    </row>
    <row r="26" spans="1:7" x14ac:dyDescent="0.25">
      <c r="A26" s="62" t="s">
        <v>312</v>
      </c>
      <c r="B26" s="5"/>
      <c r="C26" s="5"/>
      <c r="D26" s="5"/>
      <c r="E26" s="5"/>
      <c r="F26" s="5"/>
      <c r="G26" s="5"/>
    </row>
    <row r="27" spans="1:7" x14ac:dyDescent="0.25">
      <c r="A27" s="62" t="s">
        <v>313</v>
      </c>
      <c r="B27" s="5"/>
      <c r="C27" s="5"/>
      <c r="D27" s="5"/>
      <c r="E27" s="5"/>
      <c r="F27" s="5"/>
      <c r="G27" s="5"/>
    </row>
    <row r="28" spans="1:7" x14ac:dyDescent="0.25">
      <c r="A28" s="62" t="s">
        <v>317</v>
      </c>
      <c r="B28" s="5"/>
      <c r="C28" s="5"/>
      <c r="D28" s="5"/>
      <c r="E28" s="5"/>
      <c r="F28" s="5"/>
      <c r="G28" s="5"/>
    </row>
    <row r="29" spans="1:7" x14ac:dyDescent="0.25">
      <c r="A29" s="62" t="s">
        <v>314</v>
      </c>
      <c r="B29" s="5"/>
      <c r="C29" s="5"/>
      <c r="D29" s="5"/>
      <c r="E29" s="5"/>
      <c r="F29" s="5"/>
      <c r="G29" s="5"/>
    </row>
    <row r="30" spans="1:7" x14ac:dyDescent="0.25">
      <c r="A30" s="62" t="s">
        <v>315</v>
      </c>
      <c r="B30" s="5"/>
      <c r="C30" s="5"/>
      <c r="D30" s="5"/>
      <c r="E30" s="5"/>
      <c r="F30" s="5"/>
      <c r="G30" s="5"/>
    </row>
    <row r="31" spans="1:7" x14ac:dyDescent="0.25">
      <c r="A31" s="62" t="s">
        <v>389</v>
      </c>
      <c r="B31" s="5"/>
      <c r="C31" s="5"/>
      <c r="D31" s="5"/>
      <c r="E31" s="5"/>
      <c r="F31" s="5"/>
      <c r="G31" s="5"/>
    </row>
    <row r="32" spans="1:7" x14ac:dyDescent="0.25">
      <c r="A32" s="62" t="s">
        <v>390</v>
      </c>
      <c r="B32" s="5"/>
      <c r="C32" s="5"/>
      <c r="D32" s="5"/>
      <c r="E32" s="5"/>
      <c r="F32" s="5"/>
      <c r="G32" s="5"/>
    </row>
    <row r="33" spans="1:7" x14ac:dyDescent="0.25">
      <c r="A33" s="62" t="s">
        <v>391</v>
      </c>
      <c r="B33" s="5"/>
      <c r="C33" s="5"/>
      <c r="D33" s="5"/>
      <c r="E33" s="5"/>
      <c r="F33" s="5"/>
      <c r="G33" s="5"/>
    </row>
    <row r="34" spans="1:7" x14ac:dyDescent="0.25">
      <c r="A34" s="62" t="s">
        <v>318</v>
      </c>
      <c r="B34" s="5"/>
      <c r="C34" s="5"/>
      <c r="D34" s="5"/>
      <c r="E34" s="5"/>
      <c r="F34" s="5"/>
      <c r="G34" s="5"/>
    </row>
    <row r="35" spans="1:7" x14ac:dyDescent="0.25">
      <c r="A35" s="62" t="s">
        <v>319</v>
      </c>
      <c r="B35" s="5"/>
      <c r="C35" s="5"/>
      <c r="D35" s="5"/>
      <c r="E35" s="5"/>
      <c r="F35" s="5"/>
      <c r="G35" s="5"/>
    </row>
    <row r="36" spans="1:7" x14ac:dyDescent="0.25">
      <c r="A36" s="62" t="s">
        <v>320</v>
      </c>
      <c r="B36" s="5"/>
      <c r="C36" s="5"/>
      <c r="D36" s="5"/>
      <c r="E36" s="5"/>
      <c r="F36" s="5"/>
      <c r="G36" s="5"/>
    </row>
    <row r="37" spans="1:7" x14ac:dyDescent="0.25">
      <c r="A37" s="6" t="s">
        <v>24</v>
      </c>
      <c r="B37" s="7">
        <f>SUM(B25:B33)</f>
        <v>0</v>
      </c>
      <c r="C37" s="7">
        <f t="shared" ref="C37:G37" si="0">SUM(C25:C33)</f>
        <v>0</v>
      </c>
      <c r="D37" s="7">
        <f t="shared" si="0"/>
        <v>0</v>
      </c>
      <c r="E37" s="7">
        <f t="shared" si="0"/>
        <v>0</v>
      </c>
      <c r="F37" s="7">
        <f t="shared" si="0"/>
        <v>0</v>
      </c>
      <c r="G37" s="7">
        <f t="shared" si="0"/>
        <v>0</v>
      </c>
    </row>
    <row r="39" spans="1:7" ht="19.5" customHeight="1" x14ac:dyDescent="0.25">
      <c r="A39" s="82" t="s">
        <v>307</v>
      </c>
      <c r="B39" s="83"/>
      <c r="C39" s="83"/>
      <c r="D39" s="83"/>
      <c r="E39" s="83"/>
      <c r="F39" s="83"/>
      <c r="G39" s="83"/>
    </row>
    <row r="40" spans="1:7" x14ac:dyDescent="0.25">
      <c r="A40" s="77" t="s">
        <v>380</v>
      </c>
      <c r="B40" s="77"/>
      <c r="C40" s="77"/>
      <c r="D40" s="77"/>
      <c r="E40" s="77"/>
      <c r="F40" s="77"/>
      <c r="G40" s="77"/>
    </row>
    <row r="41" spans="1:7" ht="25.5" x14ac:dyDescent="0.25">
      <c r="A41" s="2" t="s">
        <v>25</v>
      </c>
      <c r="B41" s="2" t="s">
        <v>26</v>
      </c>
      <c r="C41" s="2" t="s">
        <v>27</v>
      </c>
      <c r="D41" s="2" t="s">
        <v>28</v>
      </c>
      <c r="E41" s="2" t="s">
        <v>29</v>
      </c>
    </row>
    <row r="42" spans="1:7" x14ac:dyDescent="0.25">
      <c r="A42" s="2" t="s">
        <v>30</v>
      </c>
      <c r="B42" s="4"/>
      <c r="C42" s="4"/>
      <c r="D42" s="4"/>
      <c r="E42" s="8"/>
    </row>
    <row r="43" spans="1:7" x14ac:dyDescent="0.25">
      <c r="A43" s="53" t="s">
        <v>30</v>
      </c>
      <c r="B43" s="4"/>
      <c r="C43" s="4"/>
      <c r="D43" s="4"/>
      <c r="E43" s="8"/>
    </row>
    <row r="44" spans="1:7" x14ac:dyDescent="0.25">
      <c r="A44" s="2" t="s">
        <v>30</v>
      </c>
      <c r="B44" s="4"/>
      <c r="C44" s="4"/>
      <c r="D44" s="4"/>
      <c r="E44" s="8"/>
    </row>
    <row r="45" spans="1:7" x14ac:dyDescent="0.25">
      <c r="A45" s="2" t="s">
        <v>30</v>
      </c>
      <c r="B45" s="4"/>
      <c r="C45" s="4"/>
      <c r="D45" s="4"/>
      <c r="E45" s="8"/>
    </row>
    <row r="46" spans="1:7" x14ac:dyDescent="0.25">
      <c r="A46" s="2" t="s">
        <v>30</v>
      </c>
      <c r="B46" s="4"/>
      <c r="C46" s="4"/>
      <c r="D46" s="4"/>
      <c r="E46" s="8"/>
    </row>
    <row r="47" spans="1:7" x14ac:dyDescent="0.25">
      <c r="A47" s="2" t="s">
        <v>31</v>
      </c>
      <c r="B47" s="4"/>
      <c r="C47" s="4"/>
      <c r="D47" s="4"/>
      <c r="E47" s="8"/>
    </row>
    <row r="48" spans="1:7" x14ac:dyDescent="0.25">
      <c r="A48" s="2" t="s">
        <v>31</v>
      </c>
      <c r="B48" s="4"/>
      <c r="C48" s="4"/>
      <c r="D48" s="4"/>
      <c r="E48" s="8"/>
    </row>
    <row r="49" spans="1:8" x14ac:dyDescent="0.25">
      <c r="A49" s="2" t="s">
        <v>31</v>
      </c>
      <c r="B49" s="4"/>
      <c r="C49" s="4"/>
      <c r="D49" s="4"/>
      <c r="E49" s="8"/>
    </row>
    <row r="50" spans="1:8" x14ac:dyDescent="0.25">
      <c r="A50" s="2" t="s">
        <v>31</v>
      </c>
      <c r="B50" s="4"/>
      <c r="C50" s="4"/>
      <c r="D50" s="4"/>
      <c r="E50" s="8"/>
    </row>
    <row r="51" spans="1:8" x14ac:dyDescent="0.25">
      <c r="A51" s="2" t="s">
        <v>31</v>
      </c>
      <c r="B51" s="4"/>
      <c r="C51" s="4"/>
      <c r="D51" s="4"/>
      <c r="E51" s="8"/>
    </row>
    <row r="52" spans="1:8" x14ac:dyDescent="0.25">
      <c r="H52" s="61" t="s">
        <v>302</v>
      </c>
    </row>
  </sheetData>
  <sheetProtection algorithmName="SHA-512" hashValue="SkEn8qMaoi8oBxtuoXB1p+ilw/wYrgQfDZVsHjcwdNG9vVO/x4x7BdaFLBZIVnO1TPVlEZVh6qTcmMyuEEjprA==" saltValue="2lQEMrDIT28wxBwfSHp6Yw==" spinCount="100000" sheet="1" formatCells="0" insertColumns="0" insertRows="0" deleteColumns="0" deleteRows="0"/>
  <mergeCells count="23">
    <mergeCell ref="A1:G1"/>
    <mergeCell ref="A3:G3"/>
    <mergeCell ref="A4:C4"/>
    <mergeCell ref="D4:G4"/>
    <mergeCell ref="A5:C5"/>
    <mergeCell ref="D5:G5"/>
    <mergeCell ref="A6:C6"/>
    <mergeCell ref="D6:G6"/>
    <mergeCell ref="A7:C7"/>
    <mergeCell ref="D7:G7"/>
    <mergeCell ref="A8:C8"/>
    <mergeCell ref="D8:G8"/>
    <mergeCell ref="A40:G40"/>
    <mergeCell ref="A9:C9"/>
    <mergeCell ref="D9:G9"/>
    <mergeCell ref="A22:G22"/>
    <mergeCell ref="A39:G39"/>
    <mergeCell ref="A10:C10"/>
    <mergeCell ref="D10:G10"/>
    <mergeCell ref="A11:C11"/>
    <mergeCell ref="D11:G11"/>
    <mergeCell ref="A13:G13"/>
    <mergeCell ref="A23:G23"/>
  </mergeCells>
  <dataValidations count="2">
    <dataValidation type="list" sqref="B15:B18" xr:uid="{00000000-0002-0000-0100-000001000000}">
      <formula1>list_CheckMark</formula1>
      <formula2>0</formula2>
    </dataValidation>
    <dataValidation type="list" allowBlank="1" sqref="D42:D51" xr:uid="{00000000-0002-0000-0100-000005000000}">
      <formula1>list_PaymentTerms</formula1>
      <formula2>0</formula2>
    </dataValidation>
  </dataValidations>
  <hyperlinks>
    <hyperlink ref="H52" location="'02_Опис_проєкту'!A1" display="Далі" xr:uid="{C0080709-1384-4C04-9937-DEFCD536F5E3}"/>
  </hyperlink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4"/>
  <sheetViews>
    <sheetView zoomScale="85" zoomScaleNormal="85" workbookViewId="0">
      <selection activeCell="H34" sqref="H34"/>
    </sheetView>
  </sheetViews>
  <sheetFormatPr defaultColWidth="8.7109375" defaultRowHeight="15" x14ac:dyDescent="0.25"/>
  <cols>
    <col min="1" max="1" width="45" customWidth="1"/>
    <col min="2" max="7" width="18" customWidth="1"/>
  </cols>
  <sheetData>
    <row r="1" spans="1:7" ht="24" customHeight="1" x14ac:dyDescent="0.25">
      <c r="A1" s="100" t="s">
        <v>32</v>
      </c>
      <c r="B1" s="86"/>
      <c r="C1" s="86"/>
      <c r="D1" s="86"/>
      <c r="E1" s="86"/>
      <c r="F1" s="86"/>
      <c r="G1" s="86"/>
    </row>
    <row r="3" spans="1:7" ht="19.5" customHeight="1" x14ac:dyDescent="0.25">
      <c r="A3" s="82" t="s">
        <v>311</v>
      </c>
      <c r="B3" s="83"/>
      <c r="C3" s="83"/>
      <c r="D3" s="83"/>
      <c r="E3" s="83"/>
      <c r="F3" s="83"/>
      <c r="G3" s="83"/>
    </row>
    <row r="4" spans="1:7" ht="15" customHeight="1" x14ac:dyDescent="0.25">
      <c r="A4" s="97" t="s">
        <v>33</v>
      </c>
      <c r="B4" s="97"/>
      <c r="C4" s="97"/>
      <c r="D4" s="80"/>
      <c r="E4" s="80"/>
      <c r="F4" s="80"/>
      <c r="G4" s="81"/>
    </row>
    <row r="5" spans="1:7" ht="15" customHeight="1" x14ac:dyDescent="0.25">
      <c r="A5" s="97" t="s">
        <v>34</v>
      </c>
      <c r="B5" s="97"/>
      <c r="C5" s="97"/>
      <c r="D5" s="80"/>
      <c r="E5" s="80"/>
      <c r="F5" s="80"/>
      <c r="G5" s="81"/>
    </row>
    <row r="6" spans="1:7" ht="15" customHeight="1" x14ac:dyDescent="0.25">
      <c r="A6" s="97" t="s">
        <v>35</v>
      </c>
      <c r="B6" s="97"/>
      <c r="C6" s="97"/>
      <c r="D6" s="80"/>
      <c r="E6" s="80"/>
      <c r="F6" s="80"/>
      <c r="G6" s="81"/>
    </row>
    <row r="7" spans="1:7" ht="15" customHeight="1" x14ac:dyDescent="0.25">
      <c r="A7" s="99" t="s">
        <v>308</v>
      </c>
      <c r="B7" s="97"/>
      <c r="C7" s="97"/>
      <c r="D7" s="80"/>
      <c r="E7" s="80"/>
      <c r="F7" s="80"/>
      <c r="G7" s="81"/>
    </row>
    <row r="8" spans="1:7" ht="15" customHeight="1" x14ac:dyDescent="0.25">
      <c r="A8" s="97" t="s">
        <v>36</v>
      </c>
      <c r="B8" s="97"/>
      <c r="C8" s="97"/>
      <c r="D8" s="80"/>
      <c r="E8" s="80"/>
      <c r="F8" s="80"/>
      <c r="G8" s="81"/>
    </row>
    <row r="9" spans="1:7" ht="15" customHeight="1" x14ac:dyDescent="0.25">
      <c r="A9" s="99" t="s">
        <v>309</v>
      </c>
      <c r="B9" s="97"/>
      <c r="C9" s="97"/>
      <c r="D9" s="80"/>
      <c r="E9" s="80"/>
      <c r="F9" s="80"/>
      <c r="G9" s="81"/>
    </row>
    <row r="10" spans="1:7" x14ac:dyDescent="0.25">
      <c r="A10" s="99" t="s">
        <v>310</v>
      </c>
      <c r="B10" s="97"/>
      <c r="C10" s="97"/>
      <c r="D10" s="80"/>
      <c r="E10" s="80"/>
      <c r="F10" s="80"/>
      <c r="G10" s="81"/>
    </row>
    <row r="12" spans="1:7" ht="19.5" customHeight="1" x14ac:dyDescent="0.25">
      <c r="A12" s="82" t="s">
        <v>381</v>
      </c>
      <c r="B12" s="83"/>
      <c r="C12" s="83"/>
      <c r="D12" s="83"/>
      <c r="E12" s="83"/>
      <c r="F12" s="83"/>
      <c r="G12" s="83"/>
    </row>
    <row r="13" spans="1:7" ht="15" customHeight="1" x14ac:dyDescent="0.25">
      <c r="A13" s="96" t="s">
        <v>37</v>
      </c>
      <c r="B13" s="96"/>
      <c r="C13" s="96"/>
      <c r="D13" s="3" t="s">
        <v>16</v>
      </c>
    </row>
    <row r="14" spans="1:7" ht="15" customHeight="1" x14ac:dyDescent="0.25">
      <c r="A14" s="96" t="s">
        <v>38</v>
      </c>
      <c r="B14" s="96"/>
      <c r="C14" s="96"/>
      <c r="D14" s="3" t="s">
        <v>16</v>
      </c>
    </row>
    <row r="15" spans="1:7" ht="15" customHeight="1" x14ac:dyDescent="0.25">
      <c r="A15" s="96" t="s">
        <v>39</v>
      </c>
      <c r="B15" s="96"/>
      <c r="C15" s="96"/>
      <c r="D15" s="3" t="s">
        <v>16</v>
      </c>
    </row>
    <row r="16" spans="1:7" ht="15" customHeight="1" x14ac:dyDescent="0.25">
      <c r="A16" s="96" t="s">
        <v>40</v>
      </c>
      <c r="B16" s="96"/>
      <c r="C16" s="96"/>
      <c r="D16" s="3" t="s">
        <v>16</v>
      </c>
    </row>
    <row r="17" spans="1:7" ht="15" customHeight="1" x14ac:dyDescent="0.25">
      <c r="A17" s="96" t="s">
        <v>41</v>
      </c>
      <c r="B17" s="96"/>
      <c r="C17" s="96"/>
      <c r="D17" s="3" t="s">
        <v>16</v>
      </c>
    </row>
    <row r="18" spans="1:7" ht="15" customHeight="1" x14ac:dyDescent="0.25">
      <c r="A18" s="96" t="s">
        <v>42</v>
      </c>
      <c r="B18" s="96"/>
      <c r="C18" s="96"/>
      <c r="D18" s="3" t="s">
        <v>16</v>
      </c>
    </row>
    <row r="19" spans="1:7" ht="15" customHeight="1" x14ac:dyDescent="0.25">
      <c r="A19" s="96" t="s">
        <v>43</v>
      </c>
      <c r="B19" s="96"/>
      <c r="C19" s="96"/>
      <c r="D19" s="3" t="s">
        <v>16</v>
      </c>
    </row>
    <row r="20" spans="1:7" ht="15" customHeight="1" x14ac:dyDescent="0.25">
      <c r="A20" s="96" t="s">
        <v>44</v>
      </c>
      <c r="B20" s="96"/>
      <c r="C20" s="96"/>
      <c r="D20" s="3" t="s">
        <v>16</v>
      </c>
    </row>
    <row r="22" spans="1:7" ht="19.5" customHeight="1" x14ac:dyDescent="0.25">
      <c r="A22" s="82" t="s">
        <v>382</v>
      </c>
      <c r="B22" s="83"/>
      <c r="C22" s="83"/>
      <c r="D22" s="83"/>
      <c r="E22" s="83"/>
      <c r="F22" s="83"/>
      <c r="G22" s="83"/>
    </row>
    <row r="23" spans="1:7" ht="15" customHeight="1" x14ac:dyDescent="0.25">
      <c r="A23" s="98" t="s">
        <v>45</v>
      </c>
      <c r="B23" s="96"/>
      <c r="C23" s="96"/>
      <c r="D23" s="3" t="s">
        <v>16</v>
      </c>
    </row>
    <row r="24" spans="1:7" ht="15" customHeight="1" x14ac:dyDescent="0.25">
      <c r="A24" s="96" t="s">
        <v>46</v>
      </c>
      <c r="B24" s="96"/>
      <c r="C24" s="96"/>
      <c r="D24" s="3" t="s">
        <v>16</v>
      </c>
    </row>
    <row r="25" spans="1:7" ht="15" customHeight="1" x14ac:dyDescent="0.25">
      <c r="A25" s="96" t="s">
        <v>47</v>
      </c>
      <c r="B25" s="96"/>
      <c r="C25" s="96"/>
      <c r="D25" s="3" t="s">
        <v>16</v>
      </c>
    </row>
    <row r="26" spans="1:7" ht="15" customHeight="1" x14ac:dyDescent="0.25">
      <c r="A26" s="96" t="s">
        <v>48</v>
      </c>
      <c r="B26" s="96"/>
      <c r="C26" s="96"/>
      <c r="D26" s="3" t="s">
        <v>16</v>
      </c>
    </row>
    <row r="27" spans="1:7" ht="15" customHeight="1" x14ac:dyDescent="0.25">
      <c r="A27" s="96" t="s">
        <v>49</v>
      </c>
      <c r="B27" s="96"/>
      <c r="C27" s="96"/>
      <c r="D27" s="3" t="s">
        <v>16</v>
      </c>
    </row>
    <row r="28" spans="1:7" ht="15" customHeight="1" x14ac:dyDescent="0.25">
      <c r="A28" s="96" t="s">
        <v>50</v>
      </c>
      <c r="B28" s="96"/>
      <c r="C28" s="96"/>
      <c r="D28" s="3" t="s">
        <v>16</v>
      </c>
    </row>
    <row r="29" spans="1:7" ht="15" customHeight="1" x14ac:dyDescent="0.25">
      <c r="A29" s="96" t="s">
        <v>51</v>
      </c>
      <c r="B29" s="96"/>
      <c r="C29" s="96"/>
      <c r="D29" s="3" t="s">
        <v>16</v>
      </c>
    </row>
    <row r="30" spans="1:7" ht="15" customHeight="1" x14ac:dyDescent="0.25">
      <c r="A30" s="96" t="s">
        <v>52</v>
      </c>
      <c r="B30" s="96"/>
      <c r="C30" s="96"/>
      <c r="D30" s="3" t="s">
        <v>16</v>
      </c>
    </row>
    <row r="31" spans="1:7" ht="15" customHeight="1" x14ac:dyDescent="0.25">
      <c r="A31" s="96" t="s">
        <v>53</v>
      </c>
      <c r="B31" s="96"/>
      <c r="C31" s="96"/>
      <c r="D31" s="3" t="s">
        <v>16</v>
      </c>
    </row>
    <row r="32" spans="1:7" ht="15" customHeight="1" x14ac:dyDescent="0.25">
      <c r="A32" s="97" t="s">
        <v>54</v>
      </c>
      <c r="B32" s="97"/>
      <c r="C32" s="97"/>
      <c r="D32" s="80"/>
      <c r="E32" s="80"/>
      <c r="F32" s="80"/>
      <c r="G32" s="81"/>
    </row>
    <row r="34" spans="8:8" x14ac:dyDescent="0.25">
      <c r="H34" s="61" t="s">
        <v>302</v>
      </c>
    </row>
  </sheetData>
  <sheetProtection algorithmName="SHA-512" hashValue="ULWTlZyTKgWHJG6YbunQ2lu4Gcz84BmauiDQh5zTSR6p5DjMkexpk2Uj35HioVPXUnAvgcjlghADtZWfRCPt+Q==" saltValue="EG2iSQv/rxn8LjvbeYO3rA==" spinCount="100000" sheet="1" formatCells="0" insertColumns="0" insertRows="0" deleteColumns="0" deleteRows="0" selectLockedCells="1"/>
  <mergeCells count="37">
    <mergeCell ref="A1:G1"/>
    <mergeCell ref="A3:G3"/>
    <mergeCell ref="A4:C4"/>
    <mergeCell ref="D4:G4"/>
    <mergeCell ref="A5:C5"/>
    <mergeCell ref="D5:G5"/>
    <mergeCell ref="A6:C6"/>
    <mergeCell ref="D6:G6"/>
    <mergeCell ref="A7:C7"/>
    <mergeCell ref="D7:G7"/>
    <mergeCell ref="A8:C8"/>
    <mergeCell ref="D8:G8"/>
    <mergeCell ref="A12:G12"/>
    <mergeCell ref="A13:C13"/>
    <mergeCell ref="A14:C14"/>
    <mergeCell ref="A9:C9"/>
    <mergeCell ref="D9:G9"/>
    <mergeCell ref="A10:C10"/>
    <mergeCell ref="D10:G10"/>
    <mergeCell ref="A15:C15"/>
    <mergeCell ref="A16:C16"/>
    <mergeCell ref="A17:C17"/>
    <mergeCell ref="A18:C18"/>
    <mergeCell ref="A19:C19"/>
    <mergeCell ref="A20:C20"/>
    <mergeCell ref="A22:G22"/>
    <mergeCell ref="A23:C23"/>
    <mergeCell ref="A24:C24"/>
    <mergeCell ref="A25:C25"/>
    <mergeCell ref="A31:C31"/>
    <mergeCell ref="A32:C32"/>
    <mergeCell ref="D32:G32"/>
    <mergeCell ref="A26:C26"/>
    <mergeCell ref="A27:C27"/>
    <mergeCell ref="A28:C28"/>
    <mergeCell ref="A29:C29"/>
    <mergeCell ref="A30:C30"/>
  </mergeCells>
  <dataValidations count="5">
    <dataValidation type="list" allowBlank="1" sqref="D4" xr:uid="{00000000-0002-0000-0200-000000000000}">
      <formula1>list_Activity</formula1>
      <formula2>0</formula2>
    </dataValidation>
    <dataValidation type="list" allowBlank="1" sqref="D5" xr:uid="{00000000-0002-0000-0200-000001000000}">
      <formula1>list_ExportStatus</formula1>
      <formula2>0</formula2>
    </dataValidation>
    <dataValidation type="list" allowBlank="1" sqref="D9 D6:D7" xr:uid="{00000000-0002-0000-0200-000002000000}">
      <formula1>list_YesNo</formula1>
      <formula2>0</formula2>
    </dataValidation>
    <dataValidation type="list" allowBlank="1" sqref="D8" xr:uid="{00000000-0002-0000-0200-000004000000}">
      <formula1>list_YesNoPartial</formula1>
      <formula2>0</formula2>
    </dataValidation>
    <dataValidation type="list" sqref="D23:D31 D13:D20" xr:uid="{00000000-0002-0000-0200-000007000000}">
      <formula1>list_CheckMark</formula1>
      <formula2>0</formula2>
    </dataValidation>
  </dataValidations>
  <hyperlinks>
    <hyperlink ref="H34" location="'03_Кліматичний_ризик'!A1" display="Далі" xr:uid="{4E6D0001-9B71-455C-BCE0-7B0982907F20}"/>
  </hyperlink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9"/>
  <sheetViews>
    <sheetView topLeftCell="A3" zoomScaleNormal="100" workbookViewId="0">
      <selection activeCell="A25" sqref="A25:D29"/>
    </sheetView>
  </sheetViews>
  <sheetFormatPr defaultColWidth="8.7109375" defaultRowHeight="15" x14ac:dyDescent="0.25"/>
  <cols>
    <col min="1" max="1" width="50" customWidth="1"/>
    <col min="2" max="4" width="20" customWidth="1"/>
  </cols>
  <sheetData>
    <row r="1" spans="1:4" ht="24" customHeight="1" x14ac:dyDescent="0.25">
      <c r="A1" s="86" t="s">
        <v>55</v>
      </c>
      <c r="B1" s="86"/>
      <c r="C1" s="86"/>
      <c r="D1" s="86"/>
    </row>
    <row r="3" spans="1:4" ht="19.5" customHeight="1" x14ac:dyDescent="0.25">
      <c r="A3" s="83" t="s">
        <v>56</v>
      </c>
      <c r="B3" s="83"/>
      <c r="C3" s="83"/>
      <c r="D3" s="83"/>
    </row>
    <row r="4" spans="1:4" ht="15" customHeight="1" x14ac:dyDescent="0.25">
      <c r="A4" s="96" t="s">
        <v>57</v>
      </c>
      <c r="B4" s="96"/>
      <c r="C4" s="96"/>
      <c r="D4" s="3" t="s">
        <v>16</v>
      </c>
    </row>
    <row r="5" spans="1:4" ht="15" customHeight="1" x14ac:dyDescent="0.25">
      <c r="A5" s="96" t="s">
        <v>58</v>
      </c>
      <c r="B5" s="96"/>
      <c r="C5" s="96"/>
      <c r="D5" s="3" t="s">
        <v>16</v>
      </c>
    </row>
    <row r="6" spans="1:4" ht="15" customHeight="1" x14ac:dyDescent="0.25">
      <c r="A6" s="96" t="s">
        <v>59</v>
      </c>
      <c r="B6" s="96"/>
      <c r="C6" s="96"/>
      <c r="D6" s="3" t="s">
        <v>16</v>
      </c>
    </row>
    <row r="7" spans="1:4" ht="15" customHeight="1" x14ac:dyDescent="0.25">
      <c r="A7" s="96" t="s">
        <v>60</v>
      </c>
      <c r="B7" s="96"/>
      <c r="C7" s="96"/>
      <c r="D7" s="3" t="s">
        <v>16</v>
      </c>
    </row>
    <row r="8" spans="1:4" ht="15" customHeight="1" x14ac:dyDescent="0.25">
      <c r="A8" s="96" t="s">
        <v>61</v>
      </c>
      <c r="B8" s="96"/>
      <c r="C8" s="96"/>
      <c r="D8" s="3" t="s">
        <v>16</v>
      </c>
    </row>
    <row r="9" spans="1:4" ht="15" customHeight="1" x14ac:dyDescent="0.25">
      <c r="A9" s="96" t="s">
        <v>62</v>
      </c>
      <c r="B9" s="96"/>
      <c r="C9" s="96"/>
      <c r="D9" s="3" t="s">
        <v>16</v>
      </c>
    </row>
    <row r="10" spans="1:4" ht="15" customHeight="1" x14ac:dyDescent="0.25">
      <c r="A10" s="96" t="s">
        <v>63</v>
      </c>
      <c r="B10" s="96"/>
      <c r="C10" s="96"/>
      <c r="D10" s="3" t="s">
        <v>16</v>
      </c>
    </row>
    <row r="11" spans="1:4" ht="15" customHeight="1" x14ac:dyDescent="0.25">
      <c r="A11" s="96" t="s">
        <v>64</v>
      </c>
      <c r="B11" s="96"/>
      <c r="C11" s="96"/>
      <c r="D11" s="3" t="s">
        <v>16</v>
      </c>
    </row>
    <row r="12" spans="1:4" ht="15" customHeight="1" x14ac:dyDescent="0.25">
      <c r="A12" s="96" t="s">
        <v>65</v>
      </c>
      <c r="B12" s="96"/>
      <c r="C12" s="96"/>
      <c r="D12" s="3" t="s">
        <v>16</v>
      </c>
    </row>
    <row r="13" spans="1:4" ht="15" customHeight="1" x14ac:dyDescent="0.25">
      <c r="A13" s="96" t="s">
        <v>66</v>
      </c>
      <c r="B13" s="96"/>
      <c r="C13" s="96"/>
      <c r="D13" s="3" t="s">
        <v>16</v>
      </c>
    </row>
    <row r="14" spans="1:4" ht="15" customHeight="1" x14ac:dyDescent="0.25">
      <c r="A14" s="96" t="s">
        <v>67</v>
      </c>
      <c r="B14" s="96"/>
      <c r="C14" s="96"/>
      <c r="D14" s="3" t="s">
        <v>16</v>
      </c>
    </row>
    <row r="15" spans="1:4" ht="15" customHeight="1" x14ac:dyDescent="0.25">
      <c r="A15" s="96" t="s">
        <v>68</v>
      </c>
      <c r="B15" s="96"/>
      <c r="C15" s="96"/>
      <c r="D15" s="3" t="s">
        <v>16</v>
      </c>
    </row>
    <row r="17" spans="1:4" ht="15" customHeight="1" x14ac:dyDescent="0.25">
      <c r="A17" s="97" t="s">
        <v>69</v>
      </c>
      <c r="B17" s="97"/>
      <c r="C17" s="97"/>
      <c r="D17" s="97"/>
    </row>
    <row r="18" spans="1:4" ht="79.5" customHeight="1" x14ac:dyDescent="0.25">
      <c r="A18" s="102"/>
      <c r="B18" s="102"/>
      <c r="C18" s="102"/>
      <c r="D18" s="102"/>
    </row>
    <row r="19" spans="1:4" x14ac:dyDescent="0.25">
      <c r="A19" s="102"/>
      <c r="B19" s="102"/>
      <c r="C19" s="102"/>
      <c r="D19" s="102"/>
    </row>
    <row r="20" spans="1:4" x14ac:dyDescent="0.25">
      <c r="A20" s="102"/>
      <c r="B20" s="102"/>
      <c r="C20" s="102"/>
      <c r="D20" s="102"/>
    </row>
    <row r="21" spans="1:4" x14ac:dyDescent="0.25">
      <c r="A21" s="102"/>
      <c r="B21" s="102"/>
      <c r="C21" s="102"/>
      <c r="D21" s="102"/>
    </row>
    <row r="22" spans="1:4" x14ac:dyDescent="0.25">
      <c r="A22" s="102"/>
      <c r="B22" s="102"/>
      <c r="C22" s="102"/>
      <c r="D22" s="102"/>
    </row>
    <row r="24" spans="1:4" ht="15" customHeight="1" x14ac:dyDescent="0.25">
      <c r="A24" s="97" t="s">
        <v>70</v>
      </c>
      <c r="B24" s="97"/>
      <c r="C24" s="97"/>
      <c r="D24" s="97"/>
    </row>
    <row r="25" spans="1:4" ht="79.5" customHeight="1" x14ac:dyDescent="0.25">
      <c r="A25" s="102"/>
      <c r="B25" s="102"/>
      <c r="C25" s="102"/>
      <c r="D25" s="102"/>
    </row>
    <row r="26" spans="1:4" x14ac:dyDescent="0.25">
      <c r="A26" s="102"/>
      <c r="B26" s="102"/>
      <c r="C26" s="102"/>
      <c r="D26" s="102"/>
    </row>
    <row r="27" spans="1:4" x14ac:dyDescent="0.25">
      <c r="A27" s="102"/>
      <c r="B27" s="102"/>
      <c r="C27" s="102"/>
      <c r="D27" s="102"/>
    </row>
    <row r="28" spans="1:4" x14ac:dyDescent="0.25">
      <c r="A28" s="102"/>
      <c r="B28" s="102"/>
      <c r="C28" s="102"/>
      <c r="D28" s="102"/>
    </row>
    <row r="29" spans="1:4" x14ac:dyDescent="0.25">
      <c r="A29" s="102"/>
      <c r="B29" s="102"/>
      <c r="C29" s="102"/>
      <c r="D29" s="102"/>
    </row>
    <row r="31" spans="1:4" x14ac:dyDescent="0.25">
      <c r="A31" s="82" t="s">
        <v>321</v>
      </c>
      <c r="B31" s="83"/>
      <c r="C31" s="83"/>
      <c r="D31" s="83"/>
    </row>
    <row r="32" spans="1:4" x14ac:dyDescent="0.25">
      <c r="A32" s="101" t="s">
        <v>322</v>
      </c>
      <c r="B32" s="101"/>
      <c r="C32" s="101"/>
      <c r="D32" s="101"/>
    </row>
    <row r="33" spans="1:5" x14ac:dyDescent="0.25">
      <c r="A33" s="101"/>
      <c r="B33" s="101"/>
      <c r="C33" s="101"/>
      <c r="D33" s="101"/>
    </row>
    <row r="34" spans="1:5" x14ac:dyDescent="0.25">
      <c r="A34" s="101"/>
      <c r="B34" s="101"/>
      <c r="C34" s="101"/>
      <c r="D34" s="101"/>
    </row>
    <row r="35" spans="1:5" x14ac:dyDescent="0.25">
      <c r="A35" s="101"/>
      <c r="B35" s="101"/>
      <c r="C35" s="101"/>
      <c r="D35" s="101"/>
    </row>
    <row r="36" spans="1:5" ht="44.25" customHeight="1" x14ac:dyDescent="0.25">
      <c r="A36" s="101"/>
      <c r="B36" s="101"/>
      <c r="C36" s="101"/>
      <c r="D36" s="101"/>
    </row>
    <row r="39" spans="1:5" x14ac:dyDescent="0.25">
      <c r="E39" s="61" t="s">
        <v>302</v>
      </c>
    </row>
  </sheetData>
  <sheetProtection algorithmName="SHA-512" hashValue="gDYwyWbf3AkCKwvYb0qLPXAMUnA3kUK2XXnybTx/u2Bq/i7DND0/sru8e7IzIN0vNqY9IBf0wKa14a/fIm+ysA==" saltValue="8OSs2/3aLzDU88xVhd07Ww==" spinCount="100000" sheet="1" formatCells="0" insertColumns="0" insertRows="0" deleteColumns="0" deleteRows="0" selectLockedCells="1"/>
  <mergeCells count="20">
    <mergeCell ref="A12:C12"/>
    <mergeCell ref="A7:C7"/>
    <mergeCell ref="A8:C8"/>
    <mergeCell ref="A9:C9"/>
    <mergeCell ref="A10:C10"/>
    <mergeCell ref="A11:C11"/>
    <mergeCell ref="A1:D1"/>
    <mergeCell ref="A3:D3"/>
    <mergeCell ref="A4:C4"/>
    <mergeCell ref="A5:C5"/>
    <mergeCell ref="A6:C6"/>
    <mergeCell ref="A13:C13"/>
    <mergeCell ref="A14:C14"/>
    <mergeCell ref="A15:C15"/>
    <mergeCell ref="A17:D17"/>
    <mergeCell ref="A32:D36"/>
    <mergeCell ref="A31:D31"/>
    <mergeCell ref="A18:D22"/>
    <mergeCell ref="A24:D24"/>
    <mergeCell ref="A25:D29"/>
  </mergeCells>
  <dataValidations count="1">
    <dataValidation type="list" sqref="D4:D15" xr:uid="{00000000-0002-0000-0300-000000000000}">
      <formula1>list_CheckMark</formula1>
      <formula2>0</formula2>
    </dataValidation>
  </dataValidations>
  <hyperlinks>
    <hyperlink ref="E39" location="'04_CAPEX'!A1" display="Далі" xr:uid="{78A07D1B-2B9B-40B4-ACB6-AD740D389E39}"/>
  </hyperlink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zoomScaleNormal="100" workbookViewId="0">
      <selection activeCell="B5" sqref="B5"/>
    </sheetView>
  </sheetViews>
  <sheetFormatPr defaultColWidth="8.7109375" defaultRowHeight="15" x14ac:dyDescent="0.25"/>
  <cols>
    <col min="1" max="1" width="55" customWidth="1"/>
    <col min="2" max="2" width="16" customWidth="1"/>
    <col min="3" max="3" width="40" customWidth="1"/>
  </cols>
  <sheetData>
    <row r="1" spans="1:3" ht="24" customHeight="1" x14ac:dyDescent="0.25">
      <c r="A1" s="100" t="s">
        <v>323</v>
      </c>
      <c r="B1" s="86"/>
      <c r="C1" s="86"/>
    </row>
    <row r="3" spans="1:3" ht="16.5" x14ac:dyDescent="0.25">
      <c r="A3" s="9" t="s">
        <v>71</v>
      </c>
      <c r="B3" s="9" t="s">
        <v>72</v>
      </c>
      <c r="C3" s="63" t="s">
        <v>324</v>
      </c>
    </row>
    <row r="4" spans="1:3" x14ac:dyDescent="0.25">
      <c r="A4" s="10" t="s">
        <v>74</v>
      </c>
      <c r="B4" s="65">
        <f>B5+B6</f>
        <v>0</v>
      </c>
      <c r="C4" s="11"/>
    </row>
    <row r="5" spans="1:3" x14ac:dyDescent="0.25">
      <c r="A5" s="54" t="s">
        <v>335</v>
      </c>
      <c r="B5" s="12"/>
      <c r="C5" s="4"/>
    </row>
    <row r="6" spans="1:3" x14ac:dyDescent="0.25">
      <c r="A6" s="54" t="s">
        <v>336</v>
      </c>
      <c r="B6" s="12"/>
      <c r="C6" s="4"/>
    </row>
    <row r="7" spans="1:3" x14ac:dyDescent="0.25">
      <c r="A7" s="54" t="s">
        <v>327</v>
      </c>
      <c r="B7" s="12"/>
      <c r="C7" s="4"/>
    </row>
    <row r="8" spans="1:3" ht="25.5" x14ac:dyDescent="0.25">
      <c r="A8" s="54" t="s">
        <v>328</v>
      </c>
      <c r="B8" s="12"/>
      <c r="C8" s="4"/>
    </row>
    <row r="9" spans="1:3" x14ac:dyDescent="0.25">
      <c r="A9" s="10" t="s">
        <v>329</v>
      </c>
      <c r="B9" s="65">
        <f>B10+B11+B12+B13</f>
        <v>0</v>
      </c>
      <c r="C9" s="11"/>
    </row>
    <row r="10" spans="1:3" x14ac:dyDescent="0.25">
      <c r="A10" s="54" t="s">
        <v>330</v>
      </c>
      <c r="B10" s="12"/>
      <c r="C10" s="4"/>
    </row>
    <row r="11" spans="1:3" x14ac:dyDescent="0.25">
      <c r="A11" s="54" t="s">
        <v>331</v>
      </c>
      <c r="B11" s="12"/>
      <c r="C11" s="4"/>
    </row>
    <row r="12" spans="1:3" x14ac:dyDescent="0.25">
      <c r="A12" s="54" t="s">
        <v>332</v>
      </c>
      <c r="B12" s="12"/>
      <c r="C12" s="4"/>
    </row>
    <row r="13" spans="1:3" x14ac:dyDescent="0.25">
      <c r="A13" s="54" t="s">
        <v>333</v>
      </c>
      <c r="B13" s="12"/>
      <c r="C13" s="4"/>
    </row>
    <row r="14" spans="1:3" x14ac:dyDescent="0.25">
      <c r="A14" s="54" t="s">
        <v>334</v>
      </c>
      <c r="B14" s="12"/>
      <c r="C14" s="4"/>
    </row>
    <row r="16" spans="1:3" x14ac:dyDescent="0.25">
      <c r="A16" s="13" t="s">
        <v>75</v>
      </c>
      <c r="B16" s="14">
        <f>SUM(B4,B7,B8,B9,B14)</f>
        <v>0</v>
      </c>
    </row>
    <row r="18" spans="1:4" x14ac:dyDescent="0.25">
      <c r="A18" s="15" t="s">
        <v>76</v>
      </c>
      <c r="B18" s="16">
        <f>SUM(B5:B6)</f>
        <v>0</v>
      </c>
    </row>
    <row r="19" spans="1:4" x14ac:dyDescent="0.25">
      <c r="D19" s="61" t="s">
        <v>302</v>
      </c>
    </row>
  </sheetData>
  <sheetProtection algorithmName="SHA-512" hashValue="o3V1JLEeoXedEWuyea6awmV6E9ERtLopZjv6GZNpy/xjK2rfaEvwWwq3Qxiu0VZYEv4MXKTE9ZTN6PwcSuDHzA==" saltValue="rKPRnKLDInyNflGab2tDVA==" spinCount="100000" sheet="1" formatCells="0" insertColumns="0" insertRows="0" deleteColumns="0" deleteRows="0" selectLockedCells="1"/>
  <mergeCells count="1">
    <mergeCell ref="A1:C1"/>
  </mergeCells>
  <hyperlinks>
    <hyperlink ref="D19" location="'05_Фінансування'!A1" display="Далі" xr:uid="{2CC3FF8A-3D97-4EA6-97A7-86F5F7032067}"/>
  </hyperlink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"/>
  <sheetViews>
    <sheetView zoomScaleNormal="100" workbookViewId="0">
      <selection activeCell="B9" sqref="B9"/>
    </sheetView>
  </sheetViews>
  <sheetFormatPr defaultColWidth="8.7109375" defaultRowHeight="15" x14ac:dyDescent="0.25"/>
  <cols>
    <col min="1" max="1" width="45" customWidth="1"/>
    <col min="2" max="2" width="18" customWidth="1"/>
    <col min="3" max="3" width="38.7109375" customWidth="1"/>
  </cols>
  <sheetData>
    <row r="1" spans="1:4" ht="24" customHeight="1" x14ac:dyDescent="0.25">
      <c r="A1" s="100" t="s">
        <v>325</v>
      </c>
      <c r="B1" s="86"/>
      <c r="C1" s="86"/>
    </row>
    <row r="3" spans="1:4" ht="16.5" x14ac:dyDescent="0.25">
      <c r="A3" s="9" t="s">
        <v>77</v>
      </c>
      <c r="B3" s="9" t="s">
        <v>72</v>
      </c>
      <c r="C3" s="9" t="s">
        <v>73</v>
      </c>
    </row>
    <row r="4" spans="1:4" x14ac:dyDescent="0.25">
      <c r="A4" s="1" t="s">
        <v>78</v>
      </c>
      <c r="B4" s="17">
        <f>Y_CAPEX</f>
        <v>0</v>
      </c>
      <c r="C4" s="18" t="s">
        <v>79</v>
      </c>
    </row>
    <row r="5" spans="1:4" x14ac:dyDescent="0.25">
      <c r="A5" s="19" t="s">
        <v>80</v>
      </c>
      <c r="B5" s="12"/>
      <c r="C5" s="18" t="s">
        <v>81</v>
      </c>
    </row>
    <row r="6" spans="1:4" x14ac:dyDescent="0.25">
      <c r="A6" s="1" t="s">
        <v>82</v>
      </c>
      <c r="B6" s="20">
        <f>MIN(Y_CAPEX*GRANT_RATE, MAX_GRANT_EUR*EUR_RATE)</f>
        <v>0</v>
      </c>
      <c r="C6" s="15" t="s">
        <v>83</v>
      </c>
    </row>
    <row r="7" spans="1:4" x14ac:dyDescent="0.25">
      <c r="A7" s="19" t="s">
        <v>84</v>
      </c>
      <c r="B7" s="12"/>
      <c r="C7" s="64" t="s">
        <v>337</v>
      </c>
    </row>
    <row r="8" spans="1:4" x14ac:dyDescent="0.25">
      <c r="A8" s="1" t="s">
        <v>85</v>
      </c>
      <c r="B8" s="20">
        <f>MAX(Y_CAPEX-X_OWN-PARTNER_FUNDS, 0)</f>
        <v>0</v>
      </c>
      <c r="C8" s="64" t="s">
        <v>326</v>
      </c>
    </row>
    <row r="9" spans="1:4" x14ac:dyDescent="0.25">
      <c r="A9" s="19" t="s">
        <v>86</v>
      </c>
      <c r="B9" s="8">
        <v>60</v>
      </c>
      <c r="C9" s="18" t="s">
        <v>87</v>
      </c>
    </row>
    <row r="11" spans="1:4" x14ac:dyDescent="0.25">
      <c r="A11" s="66" t="s">
        <v>338</v>
      </c>
      <c r="B11" s="16">
        <f>X_OWN+PARTNER_FUNDS+CREDIT_AMOUNT</f>
        <v>0</v>
      </c>
    </row>
    <row r="12" spans="1:4" x14ac:dyDescent="0.25">
      <c r="A12" s="21" t="s">
        <v>88</v>
      </c>
      <c r="B12" s="22">
        <f>B11-Y_CAPEX</f>
        <v>0</v>
      </c>
    </row>
    <row r="14" spans="1:4" x14ac:dyDescent="0.25">
      <c r="D14" s="61" t="s">
        <v>302</v>
      </c>
    </row>
  </sheetData>
  <sheetProtection algorithmName="SHA-512" hashValue="IE7antG2tYlo4YfmaMYXDC59XYktGvYtOxTLtcjE7/E1eUeJCfXeOel9sI3x8uaHZc2nCtSvLYK6RHZAY6zaFQ==" saltValue="SQJbHgm/2dCvNtEUEJihzg==" spinCount="100000" sheet="1" formatCells="0" insertColumns="0" insertRows="0" deleteColumns="0" deleteRows="0" selectLockedCells="1"/>
  <mergeCells count="1">
    <mergeCell ref="A1:C1"/>
  </mergeCells>
  <dataValidations count="1">
    <dataValidation type="whole" allowBlank="1" showInputMessage="1" showErrorMessage="1" errorTitle="Не більше 60 місяців" error="Від 1 до 60" promptTitle="Не більше 60 місяців" prompt="Від 1 до 60" sqref="B9" xr:uid="{4A42B346-9E3D-4095-BBFD-88BA30107E73}">
      <formula1>1</formula1>
      <formula2>60</formula2>
    </dataValidation>
  </dataValidations>
  <hyperlinks>
    <hyperlink ref="D14" location="'06_Порівняння'!A1" display="Далі" xr:uid="{FDF00F81-19DB-4291-88E1-01FE231741A8}"/>
  </hyperlink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9"/>
  <sheetViews>
    <sheetView topLeftCell="A14" zoomScaleNormal="100" workbookViewId="0">
      <selection activeCell="C36" sqref="C36"/>
    </sheetView>
  </sheetViews>
  <sheetFormatPr defaultColWidth="8.7109375" defaultRowHeight="15" x14ac:dyDescent="0.25"/>
  <cols>
    <col min="1" max="1" width="6" customWidth="1"/>
    <col min="2" max="2" width="48" customWidth="1"/>
    <col min="3" max="4" width="16" customWidth="1"/>
    <col min="5" max="5" width="18" customWidth="1"/>
    <col min="6" max="6" width="16.28515625" customWidth="1"/>
    <col min="7" max="7" width="13.7109375" customWidth="1"/>
  </cols>
  <sheetData>
    <row r="1" spans="1:7" ht="16.5" x14ac:dyDescent="0.25">
      <c r="A1" s="105" t="s">
        <v>339</v>
      </c>
      <c r="B1" s="105"/>
      <c r="C1" s="105"/>
      <c r="D1" s="105"/>
      <c r="E1" s="105"/>
      <c r="F1" s="105"/>
      <c r="G1" s="105"/>
    </row>
    <row r="3" spans="1:7" x14ac:dyDescent="0.25">
      <c r="A3" s="104" t="s">
        <v>89</v>
      </c>
      <c r="B3" s="104"/>
      <c r="C3" s="104"/>
      <c r="D3" s="104"/>
      <c r="E3" s="104"/>
      <c r="F3" s="104"/>
      <c r="G3" s="104"/>
    </row>
    <row r="4" spans="1:7" ht="25.5" x14ac:dyDescent="0.25">
      <c r="A4" s="2" t="s">
        <v>90</v>
      </c>
      <c r="B4" s="2" t="s">
        <v>91</v>
      </c>
      <c r="C4" s="2" t="s">
        <v>92</v>
      </c>
      <c r="D4" s="2" t="s">
        <v>93</v>
      </c>
      <c r="E4" s="2" t="s">
        <v>387</v>
      </c>
    </row>
    <row r="5" spans="1:7" x14ac:dyDescent="0.25">
      <c r="A5" s="23" t="s">
        <v>94</v>
      </c>
      <c r="B5" s="24" t="s">
        <v>95</v>
      </c>
      <c r="C5" s="5"/>
      <c r="D5" s="5"/>
      <c r="E5" s="25">
        <f t="shared" ref="E5:E14" si="0">C5-D5</f>
        <v>0</v>
      </c>
    </row>
    <row r="6" spans="1:7" x14ac:dyDescent="0.25">
      <c r="A6" s="23" t="s">
        <v>96</v>
      </c>
      <c r="B6" s="24" t="s">
        <v>97</v>
      </c>
      <c r="C6" s="5"/>
      <c r="D6" s="5"/>
      <c r="E6" s="25">
        <f t="shared" si="0"/>
        <v>0</v>
      </c>
    </row>
    <row r="7" spans="1:7" x14ac:dyDescent="0.25">
      <c r="A7" s="23" t="s">
        <v>98</v>
      </c>
      <c r="B7" s="24" t="s">
        <v>99</v>
      </c>
      <c r="C7" s="5"/>
      <c r="D7" s="5"/>
      <c r="E7" s="25">
        <f t="shared" si="0"/>
        <v>0</v>
      </c>
    </row>
    <row r="8" spans="1:7" x14ac:dyDescent="0.25">
      <c r="A8" s="23" t="s">
        <v>100</v>
      </c>
      <c r="B8" s="24" t="s">
        <v>101</v>
      </c>
      <c r="C8" s="5"/>
      <c r="D8" s="5"/>
      <c r="E8" s="25">
        <f t="shared" si="0"/>
        <v>0</v>
      </c>
    </row>
    <row r="9" spans="1:7" x14ac:dyDescent="0.25">
      <c r="A9" s="23" t="s">
        <v>102</v>
      </c>
      <c r="B9" s="24" t="s">
        <v>103</v>
      </c>
      <c r="C9" s="5"/>
      <c r="D9" s="5"/>
      <c r="E9" s="25">
        <f t="shared" si="0"/>
        <v>0</v>
      </c>
    </row>
    <row r="10" spans="1:7" x14ac:dyDescent="0.25">
      <c r="A10" s="23" t="s">
        <v>104</v>
      </c>
      <c r="B10" s="24" t="s">
        <v>105</v>
      </c>
      <c r="C10" s="5"/>
      <c r="D10" s="5"/>
      <c r="E10" s="25">
        <f t="shared" si="0"/>
        <v>0</v>
      </c>
    </row>
    <row r="11" spans="1:7" x14ac:dyDescent="0.25">
      <c r="A11" s="23" t="s">
        <v>106</v>
      </c>
      <c r="B11" s="24" t="s">
        <v>107</v>
      </c>
      <c r="C11" s="5"/>
      <c r="D11" s="5"/>
      <c r="E11" s="25">
        <f t="shared" si="0"/>
        <v>0</v>
      </c>
    </row>
    <row r="12" spans="1:7" x14ac:dyDescent="0.25">
      <c r="A12" s="23" t="s">
        <v>108</v>
      </c>
      <c r="B12" s="24" t="s">
        <v>109</v>
      </c>
      <c r="C12" s="5"/>
      <c r="D12" s="5"/>
      <c r="E12" s="25">
        <f t="shared" si="0"/>
        <v>0</v>
      </c>
    </row>
    <row r="13" spans="1:7" x14ac:dyDescent="0.25">
      <c r="A13" s="67" t="s">
        <v>110</v>
      </c>
      <c r="B13" s="10" t="s">
        <v>111</v>
      </c>
      <c r="C13" s="7">
        <f>SUM(C5:C8,C10:C12)</f>
        <v>0</v>
      </c>
      <c r="D13" s="7">
        <f>SUM(D5:D8,D10:D12)</f>
        <v>0</v>
      </c>
      <c r="E13" s="7">
        <f>SUM(E5:E8,E10:E12)</f>
        <v>0</v>
      </c>
    </row>
    <row r="14" spans="1:7" ht="60" x14ac:dyDescent="0.25">
      <c r="A14" s="68" t="s">
        <v>112</v>
      </c>
      <c r="B14" s="69" t="s">
        <v>342</v>
      </c>
      <c r="C14" s="5"/>
      <c r="D14" s="5"/>
      <c r="E14" s="25">
        <f t="shared" si="0"/>
        <v>0</v>
      </c>
    </row>
    <row r="15" spans="1:7" x14ac:dyDescent="0.25">
      <c r="A15" s="68">
        <v>3</v>
      </c>
      <c r="B15" s="70" t="s">
        <v>343</v>
      </c>
      <c r="C15" s="5"/>
      <c r="D15" s="5"/>
      <c r="E15" s="25">
        <f t="shared" ref="E15" si="1">C15-D15</f>
        <v>0</v>
      </c>
    </row>
    <row r="18" spans="1:7" x14ac:dyDescent="0.25">
      <c r="A18" s="104" t="s">
        <v>392</v>
      </c>
      <c r="B18" s="104"/>
      <c r="C18" s="104"/>
      <c r="D18" s="104"/>
      <c r="E18" s="104"/>
      <c r="F18" s="104"/>
      <c r="G18" s="104"/>
    </row>
    <row r="19" spans="1:7" x14ac:dyDescent="0.25">
      <c r="A19" s="2" t="s">
        <v>90</v>
      </c>
      <c r="B19" s="2" t="s">
        <v>20</v>
      </c>
      <c r="C19" s="2" t="s">
        <v>113</v>
      </c>
      <c r="D19" s="2" t="s">
        <v>114</v>
      </c>
      <c r="E19" s="2" t="s">
        <v>115</v>
      </c>
    </row>
    <row r="20" spans="1:7" x14ac:dyDescent="0.25">
      <c r="A20" s="26">
        <v>1</v>
      </c>
      <c r="B20" s="62" t="s">
        <v>340</v>
      </c>
      <c r="C20" s="5"/>
      <c r="D20" s="5"/>
      <c r="E20" s="25">
        <f t="shared" ref="E20:E29" si="2">D20-C20</f>
        <v>0</v>
      </c>
    </row>
    <row r="21" spans="1:7" x14ac:dyDescent="0.25">
      <c r="A21" s="26">
        <v>2</v>
      </c>
      <c r="B21" s="62" t="s">
        <v>341</v>
      </c>
      <c r="C21" s="5"/>
      <c r="D21" s="5"/>
      <c r="E21" s="25">
        <f t="shared" si="2"/>
        <v>0</v>
      </c>
    </row>
    <row r="22" spans="1:7" x14ac:dyDescent="0.25">
      <c r="A22" s="26">
        <v>3</v>
      </c>
      <c r="B22" s="4"/>
      <c r="C22" s="5"/>
      <c r="D22" s="5"/>
      <c r="E22" s="25">
        <f t="shared" si="2"/>
        <v>0</v>
      </c>
    </row>
    <row r="23" spans="1:7" x14ac:dyDescent="0.25">
      <c r="A23" s="26">
        <v>4</v>
      </c>
      <c r="B23" s="4"/>
      <c r="C23" s="5"/>
      <c r="D23" s="5"/>
      <c r="E23" s="25">
        <f t="shared" si="2"/>
        <v>0</v>
      </c>
    </row>
    <row r="24" spans="1:7" x14ac:dyDescent="0.25">
      <c r="A24" s="26">
        <v>5</v>
      </c>
      <c r="B24" s="4"/>
      <c r="C24" s="5"/>
      <c r="D24" s="5"/>
      <c r="E24" s="25">
        <f t="shared" si="2"/>
        <v>0</v>
      </c>
    </row>
    <row r="25" spans="1:7" x14ac:dyDescent="0.25">
      <c r="A25" s="26">
        <v>6</v>
      </c>
      <c r="B25" s="4"/>
      <c r="C25" s="5"/>
      <c r="D25" s="5"/>
      <c r="E25" s="25">
        <f t="shared" si="2"/>
        <v>0</v>
      </c>
    </row>
    <row r="26" spans="1:7" x14ac:dyDescent="0.25">
      <c r="A26" s="26">
        <v>7</v>
      </c>
      <c r="B26" s="4"/>
      <c r="C26" s="5"/>
      <c r="D26" s="5"/>
      <c r="E26" s="25">
        <f t="shared" si="2"/>
        <v>0</v>
      </c>
    </row>
    <row r="27" spans="1:7" x14ac:dyDescent="0.25">
      <c r="A27" s="26">
        <v>8</v>
      </c>
      <c r="B27" s="4"/>
      <c r="C27" s="5"/>
      <c r="D27" s="5"/>
      <c r="E27" s="25">
        <f t="shared" si="2"/>
        <v>0</v>
      </c>
    </row>
    <row r="28" spans="1:7" x14ac:dyDescent="0.25">
      <c r="A28" s="26">
        <v>9</v>
      </c>
      <c r="B28" s="4"/>
      <c r="C28" s="5"/>
      <c r="D28" s="5"/>
      <c r="E28" s="25">
        <f t="shared" si="2"/>
        <v>0</v>
      </c>
    </row>
    <row r="29" spans="1:7" x14ac:dyDescent="0.25">
      <c r="A29" s="26">
        <v>10</v>
      </c>
      <c r="B29" s="4"/>
      <c r="C29" s="5"/>
      <c r="D29" s="5"/>
      <c r="E29" s="25">
        <f t="shared" si="2"/>
        <v>0</v>
      </c>
    </row>
    <row r="30" spans="1:7" x14ac:dyDescent="0.25">
      <c r="A30" s="11"/>
      <c r="B30" s="10" t="s">
        <v>24</v>
      </c>
      <c r="C30" s="7">
        <f>SUM(C20:C29)</f>
        <v>0</v>
      </c>
      <c r="D30" s="7">
        <f>SUM(D20:D29)</f>
        <v>0</v>
      </c>
      <c r="E30" s="7">
        <f>SUM(E20:E29)</f>
        <v>0</v>
      </c>
    </row>
    <row r="33" spans="1:7" x14ac:dyDescent="0.25">
      <c r="A33" s="103" t="s">
        <v>346</v>
      </c>
      <c r="B33" s="103"/>
      <c r="C33" s="103"/>
      <c r="D33" s="103"/>
      <c r="E33" s="103"/>
      <c r="F33" s="103"/>
      <c r="G33" s="103"/>
    </row>
    <row r="34" spans="1:7" ht="25.5" x14ac:dyDescent="0.25">
      <c r="A34" s="2" t="s">
        <v>90</v>
      </c>
      <c r="B34" s="2" t="s">
        <v>116</v>
      </c>
      <c r="C34" s="53" t="s">
        <v>357</v>
      </c>
      <c r="D34" s="2" t="s">
        <v>92</v>
      </c>
      <c r="E34" s="53" t="s">
        <v>356</v>
      </c>
      <c r="F34" s="53" t="s">
        <v>93</v>
      </c>
      <c r="G34" s="53" t="s">
        <v>355</v>
      </c>
    </row>
    <row r="35" spans="1:7" x14ac:dyDescent="0.25">
      <c r="A35" s="26">
        <v>1</v>
      </c>
      <c r="B35" s="24" t="s">
        <v>117</v>
      </c>
      <c r="C35" s="5"/>
      <c r="D35" s="5"/>
      <c r="E35" s="5"/>
      <c r="F35" s="5"/>
      <c r="G35" s="25">
        <f t="shared" ref="G35:G46" si="3">D35-F35</f>
        <v>0</v>
      </c>
    </row>
    <row r="36" spans="1:7" x14ac:dyDescent="0.25">
      <c r="A36" s="26">
        <v>2</v>
      </c>
      <c r="B36" s="24" t="s">
        <v>344</v>
      </c>
      <c r="C36" s="5"/>
      <c r="D36" s="5"/>
      <c r="E36" s="5"/>
      <c r="F36" s="5"/>
      <c r="G36" s="25">
        <f t="shared" si="3"/>
        <v>0</v>
      </c>
    </row>
    <row r="37" spans="1:7" x14ac:dyDescent="0.25">
      <c r="A37" s="26">
        <v>3</v>
      </c>
      <c r="B37" s="24" t="s">
        <v>345</v>
      </c>
      <c r="C37" s="5"/>
      <c r="D37" s="5"/>
      <c r="E37" s="5"/>
      <c r="F37" s="5"/>
      <c r="G37" s="25">
        <f t="shared" si="3"/>
        <v>0</v>
      </c>
    </row>
    <row r="38" spans="1:7" x14ac:dyDescent="0.25">
      <c r="A38" s="26">
        <v>4</v>
      </c>
      <c r="B38" s="24" t="s">
        <v>347</v>
      </c>
      <c r="C38" s="5"/>
      <c r="D38" s="5"/>
      <c r="E38" s="5"/>
      <c r="F38" s="5"/>
      <c r="G38" s="25">
        <f t="shared" si="3"/>
        <v>0</v>
      </c>
    </row>
    <row r="39" spans="1:7" x14ac:dyDescent="0.25">
      <c r="A39" s="26">
        <v>5</v>
      </c>
      <c r="B39" s="24" t="s">
        <v>348</v>
      </c>
      <c r="C39" s="5"/>
      <c r="D39" s="5"/>
      <c r="E39" s="5"/>
      <c r="F39" s="5"/>
      <c r="G39" s="25">
        <f t="shared" si="3"/>
        <v>0</v>
      </c>
    </row>
    <row r="40" spans="1:7" x14ac:dyDescent="0.25">
      <c r="A40" s="26">
        <v>6</v>
      </c>
      <c r="B40" s="24" t="s">
        <v>349</v>
      </c>
      <c r="C40" s="5"/>
      <c r="D40" s="5"/>
      <c r="E40" s="5"/>
      <c r="F40" s="5"/>
      <c r="G40" s="25">
        <f t="shared" si="3"/>
        <v>0</v>
      </c>
    </row>
    <row r="41" spans="1:7" x14ac:dyDescent="0.25">
      <c r="A41" s="26">
        <v>7</v>
      </c>
      <c r="B41" s="24" t="s">
        <v>350</v>
      </c>
      <c r="C41" s="5"/>
      <c r="D41" s="5"/>
      <c r="E41" s="5"/>
      <c r="F41" s="5"/>
      <c r="G41" s="25">
        <f t="shared" si="3"/>
        <v>0</v>
      </c>
    </row>
    <row r="42" spans="1:7" x14ac:dyDescent="0.25">
      <c r="A42" s="26">
        <v>8</v>
      </c>
      <c r="B42" s="24" t="s">
        <v>351</v>
      </c>
      <c r="C42" s="5"/>
      <c r="D42" s="5"/>
      <c r="E42" s="5"/>
      <c r="F42" s="5"/>
      <c r="G42" s="25">
        <f t="shared" si="3"/>
        <v>0</v>
      </c>
    </row>
    <row r="43" spans="1:7" x14ac:dyDescent="0.25">
      <c r="A43" s="26">
        <v>9</v>
      </c>
      <c r="B43" s="24" t="s">
        <v>352</v>
      </c>
      <c r="C43" s="5"/>
      <c r="D43" s="5"/>
      <c r="E43" s="5"/>
      <c r="F43" s="5"/>
      <c r="G43" s="25">
        <f t="shared" si="3"/>
        <v>0</v>
      </c>
    </row>
    <row r="44" spans="1:7" x14ac:dyDescent="0.25">
      <c r="A44" s="26">
        <v>10</v>
      </c>
      <c r="B44" s="24" t="s">
        <v>353</v>
      </c>
      <c r="C44" s="5"/>
      <c r="D44" s="5"/>
      <c r="E44" s="5"/>
      <c r="F44" s="5"/>
      <c r="G44" s="25">
        <f t="shared" si="3"/>
        <v>0</v>
      </c>
    </row>
    <row r="45" spans="1:7" x14ac:dyDescent="0.25">
      <c r="A45" s="26">
        <v>11</v>
      </c>
      <c r="B45" s="24" t="s">
        <v>354</v>
      </c>
      <c r="C45" s="71" t="s">
        <v>358</v>
      </c>
      <c r="D45" s="5"/>
      <c r="E45" s="71" t="s">
        <v>358</v>
      </c>
      <c r="F45" s="5"/>
      <c r="G45" s="25">
        <f t="shared" si="3"/>
        <v>0</v>
      </c>
    </row>
    <row r="46" spans="1:7" x14ac:dyDescent="0.25">
      <c r="A46" s="26">
        <v>12</v>
      </c>
      <c r="B46" s="24" t="s">
        <v>388</v>
      </c>
      <c r="C46" s="71" t="s">
        <v>358</v>
      </c>
      <c r="D46" s="5"/>
      <c r="E46" s="71" t="s">
        <v>358</v>
      </c>
      <c r="F46" s="5"/>
      <c r="G46" s="25">
        <f t="shared" si="3"/>
        <v>0</v>
      </c>
    </row>
    <row r="47" spans="1:7" x14ac:dyDescent="0.25">
      <c r="A47" s="11"/>
      <c r="B47" s="10" t="s">
        <v>118</v>
      </c>
      <c r="C47" s="71" t="s">
        <v>358</v>
      </c>
      <c r="D47" s="7">
        <f>SUM(D35:D46)</f>
        <v>0</v>
      </c>
      <c r="E47" s="71" t="s">
        <v>358</v>
      </c>
      <c r="F47" s="7">
        <f>SUM(F35:F46)</f>
        <v>0</v>
      </c>
      <c r="G47" s="7">
        <f>SUM(G35:G46)</f>
        <v>0</v>
      </c>
    </row>
    <row r="49" spans="8:8" x14ac:dyDescent="0.25">
      <c r="H49" s="61" t="s">
        <v>302</v>
      </c>
    </row>
  </sheetData>
  <sheetProtection algorithmName="SHA-512" hashValue="z9T3vHba9ZEirq7TAw8oi1OZBokY8RIIvj3C25MaX79fP9mFOLmIUBTiLxwamKJRBiVPz3bHTm7I+FGo/53Ouw==" saltValue="+VedOh+Q0bcqgBgwcJWY7Q==" spinCount="100000" sheet="1" formatCells="0" insertColumns="0" insertRows="0" deleteColumns="0" deleteRows="0" selectLockedCells="1"/>
  <mergeCells count="4">
    <mergeCell ref="A33:G33"/>
    <mergeCell ref="A18:G18"/>
    <mergeCell ref="A3:G3"/>
    <mergeCell ref="A1:G1"/>
  </mergeCells>
  <dataValidations count="1">
    <dataValidation type="decimal" allowBlank="1" showInputMessage="1" showErrorMessage="1" sqref="C20:D29" xr:uid="{A0DB5139-507F-45BB-9F99-F5D855121AE7}">
      <formula1>0</formula1>
      <formula2>999999999999999</formula2>
    </dataValidation>
  </dataValidations>
  <hyperlinks>
    <hyperlink ref="H49" location="'07_Ризики'!A1" display="Далі" xr:uid="{CC972F86-5B77-4611-8DF2-3FC06A9FD9CE}"/>
  </hyperlink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7"/>
  <sheetViews>
    <sheetView zoomScaleNormal="100" workbookViewId="0">
      <selection activeCell="D5" sqref="D5"/>
    </sheetView>
  </sheetViews>
  <sheetFormatPr defaultColWidth="8.7109375" defaultRowHeight="15" x14ac:dyDescent="0.25"/>
  <cols>
    <col min="1" max="1" width="6" customWidth="1"/>
    <col min="2" max="2" width="40" customWidth="1"/>
    <col min="3" max="3" width="18" customWidth="1"/>
    <col min="4" max="4" width="63.140625" customWidth="1"/>
  </cols>
  <sheetData>
    <row r="1" spans="1:4" ht="24" customHeight="1" x14ac:dyDescent="0.25">
      <c r="A1" s="86" t="s">
        <v>119</v>
      </c>
      <c r="B1" s="86"/>
      <c r="C1" s="86"/>
      <c r="D1" s="86"/>
    </row>
    <row r="3" spans="1:4" ht="19.5" customHeight="1" x14ac:dyDescent="0.25">
      <c r="A3" s="83" t="s">
        <v>120</v>
      </c>
      <c r="B3" s="83"/>
      <c r="C3" s="83"/>
      <c r="D3" s="83"/>
    </row>
    <row r="4" spans="1:4" x14ac:dyDescent="0.25">
      <c r="A4" s="2" t="s">
        <v>90</v>
      </c>
      <c r="B4" s="2" t="s">
        <v>116</v>
      </c>
      <c r="C4" s="2" t="s">
        <v>121</v>
      </c>
      <c r="D4" s="2" t="s">
        <v>122</v>
      </c>
    </row>
    <row r="5" spans="1:4" ht="45" customHeight="1" x14ac:dyDescent="0.25">
      <c r="A5" s="26">
        <v>1</v>
      </c>
      <c r="B5" s="24" t="s">
        <v>359</v>
      </c>
      <c r="C5" s="3"/>
      <c r="D5" s="62" t="s">
        <v>361</v>
      </c>
    </row>
    <row r="6" spans="1:4" ht="30" customHeight="1" x14ac:dyDescent="0.25">
      <c r="A6" s="26">
        <v>2</v>
      </c>
      <c r="B6" s="24" t="s">
        <v>360</v>
      </c>
      <c r="C6" s="3"/>
      <c r="D6" s="62" t="s">
        <v>361</v>
      </c>
    </row>
    <row r="7" spans="1:4" ht="30" customHeight="1" x14ac:dyDescent="0.25">
      <c r="A7" s="26">
        <v>3</v>
      </c>
      <c r="B7" s="24" t="s">
        <v>123</v>
      </c>
      <c r="C7" s="3"/>
      <c r="D7" s="62" t="s">
        <v>361</v>
      </c>
    </row>
    <row r="8" spans="1:4" ht="30" customHeight="1" x14ac:dyDescent="0.25">
      <c r="A8" s="26">
        <v>4</v>
      </c>
      <c r="B8" s="24" t="s">
        <v>124</v>
      </c>
      <c r="C8" s="3"/>
      <c r="D8" s="62" t="s">
        <v>362</v>
      </c>
    </row>
    <row r="9" spans="1:4" ht="30" customHeight="1" x14ac:dyDescent="0.25">
      <c r="A9" s="26">
        <v>5</v>
      </c>
      <c r="B9" s="24" t="s">
        <v>125</v>
      </c>
      <c r="C9" s="3"/>
      <c r="D9" s="62" t="s">
        <v>363</v>
      </c>
    </row>
    <row r="10" spans="1:4" ht="30" customHeight="1" x14ac:dyDescent="0.25">
      <c r="A10" s="26">
        <v>6</v>
      </c>
      <c r="B10" s="24" t="s">
        <v>126</v>
      </c>
      <c r="C10" s="3"/>
      <c r="D10" s="62" t="s">
        <v>364</v>
      </c>
    </row>
    <row r="11" spans="1:4" ht="30" customHeight="1" x14ac:dyDescent="0.25">
      <c r="A11" s="26">
        <v>7</v>
      </c>
      <c r="B11" s="24" t="s">
        <v>127</v>
      </c>
      <c r="C11" s="3"/>
      <c r="D11" s="62" t="s">
        <v>365</v>
      </c>
    </row>
    <row r="12" spans="1:4" ht="30" customHeight="1" x14ac:dyDescent="0.25">
      <c r="A12" s="26">
        <v>8</v>
      </c>
      <c r="B12" s="24" t="s">
        <v>128</v>
      </c>
      <c r="C12" s="3"/>
      <c r="D12" s="62" t="s">
        <v>366</v>
      </c>
    </row>
    <row r="13" spans="1:4" ht="30" customHeight="1" x14ac:dyDescent="0.25">
      <c r="A13" s="26">
        <v>9</v>
      </c>
      <c r="B13" s="24" t="s">
        <v>129</v>
      </c>
      <c r="C13" s="3"/>
      <c r="D13" s="62" t="s">
        <v>367</v>
      </c>
    </row>
    <row r="14" spans="1:4" ht="30" customHeight="1" x14ac:dyDescent="0.25">
      <c r="A14" s="26">
        <v>10</v>
      </c>
      <c r="B14" s="24" t="s">
        <v>130</v>
      </c>
      <c r="C14" s="3"/>
      <c r="D14" s="62" t="s">
        <v>368</v>
      </c>
    </row>
    <row r="15" spans="1:4" ht="30" customHeight="1" x14ac:dyDescent="0.25">
      <c r="A15" s="26">
        <v>11</v>
      </c>
      <c r="B15" s="24" t="s">
        <v>131</v>
      </c>
      <c r="C15" s="3"/>
      <c r="D15" s="62" t="s">
        <v>369</v>
      </c>
    </row>
    <row r="17" spans="5:5" x14ac:dyDescent="0.25">
      <c r="E17" s="61" t="s">
        <v>302</v>
      </c>
    </row>
  </sheetData>
  <sheetProtection algorithmName="SHA-512" hashValue="/N5L9eLxUfwGkmzD2DPI5g9njrcFFjbLwZi37SK0sorbE3XLgB5R6ZMLY20J+axeVXjCuNRjGsRX//wSjw3dsQ==" saltValue="+5PaGTY30Vu5NXWkKKiDKQ==" spinCount="100000" sheet="1" formatCells="0" insertColumns="0" insertRows="0" deleteColumns="0" deleteRows="0" selectLockedCells="1"/>
  <mergeCells count="2">
    <mergeCell ref="A1:D1"/>
    <mergeCell ref="A3:D3"/>
  </mergeCells>
  <dataValidations count="1">
    <dataValidation type="list" allowBlank="1" sqref="C5:C15" xr:uid="{00000000-0002-0000-0700-000000000000}">
      <formula1>list_RiskLevel</formula1>
      <formula2>0</formula2>
    </dataValidation>
  </dataValidations>
  <hyperlinks>
    <hyperlink ref="E17" location="'08_Зелений_вплив'!A1" display="Далі" xr:uid="{F8C6B50F-EB1A-497A-91D4-E904AC01D2AB}"/>
  </hyperlink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2"/>
  <sheetViews>
    <sheetView tabSelected="1" zoomScaleNormal="100" workbookViewId="0">
      <selection activeCell="A15" sqref="A15:D20"/>
    </sheetView>
  </sheetViews>
  <sheetFormatPr defaultColWidth="8.7109375" defaultRowHeight="15" x14ac:dyDescent="0.25"/>
  <cols>
    <col min="1" max="4" width="22" customWidth="1"/>
  </cols>
  <sheetData>
    <row r="1" spans="1:4" ht="24" customHeight="1" x14ac:dyDescent="0.25">
      <c r="A1" s="86" t="s">
        <v>132</v>
      </c>
      <c r="B1" s="86"/>
      <c r="C1" s="86"/>
      <c r="D1" s="86"/>
    </row>
    <row r="3" spans="1:4" ht="15" customHeight="1" x14ac:dyDescent="0.25">
      <c r="A3" s="99" t="s">
        <v>370</v>
      </c>
      <c r="B3" s="97"/>
      <c r="C3" s="97"/>
      <c r="D3" s="97"/>
    </row>
    <row r="4" spans="1:4" ht="73.5" customHeight="1" x14ac:dyDescent="0.25">
      <c r="A4" s="108" t="s">
        <v>371</v>
      </c>
      <c r="B4" s="108"/>
      <c r="C4" s="108"/>
      <c r="D4" s="108"/>
    </row>
    <row r="5" spans="1:4" ht="21.75" customHeight="1" x14ac:dyDescent="0.25">
      <c r="A5" s="107" t="s">
        <v>372</v>
      </c>
      <c r="B5" s="102"/>
      <c r="C5" s="102"/>
      <c r="D5" s="102"/>
    </row>
    <row r="6" spans="1:4" ht="21.75" customHeight="1" x14ac:dyDescent="0.25">
      <c r="A6" s="102"/>
      <c r="B6" s="102"/>
      <c r="C6" s="102"/>
      <c r="D6" s="102"/>
    </row>
    <row r="7" spans="1:4" ht="21.75" customHeight="1" x14ac:dyDescent="0.25">
      <c r="A7" s="102"/>
      <c r="B7" s="102"/>
      <c r="C7" s="102"/>
      <c r="D7" s="102"/>
    </row>
    <row r="8" spans="1:4" ht="21.75" customHeight="1" x14ac:dyDescent="0.25">
      <c r="A8" s="102"/>
      <c r="B8" s="102"/>
      <c r="C8" s="102"/>
      <c r="D8" s="102"/>
    </row>
    <row r="9" spans="1:4" ht="21.75" customHeight="1" x14ac:dyDescent="0.25">
      <c r="A9" s="102"/>
      <c r="B9" s="102"/>
      <c r="C9" s="102"/>
      <c r="D9" s="102"/>
    </row>
    <row r="10" spans="1:4" ht="21.75" customHeight="1" x14ac:dyDescent="0.25">
      <c r="A10" s="102"/>
      <c r="B10" s="102"/>
      <c r="C10" s="102"/>
      <c r="D10" s="102"/>
    </row>
    <row r="11" spans="1:4" ht="21.75" customHeight="1" x14ac:dyDescent="0.25">
      <c r="A11" s="102"/>
      <c r="B11" s="102"/>
      <c r="C11" s="102"/>
      <c r="D11" s="102"/>
    </row>
    <row r="13" spans="1:4" ht="15" customHeight="1" x14ac:dyDescent="0.25">
      <c r="A13" s="97" t="s">
        <v>133</v>
      </c>
      <c r="B13" s="97"/>
      <c r="C13" s="97"/>
      <c r="D13" s="97"/>
    </row>
    <row r="14" spans="1:4" ht="15" customHeight="1" x14ac:dyDescent="0.25">
      <c r="A14" s="108"/>
      <c r="B14" s="108"/>
      <c r="C14" s="108"/>
      <c r="D14" s="108"/>
    </row>
    <row r="15" spans="1:4" ht="21.75" customHeight="1" x14ac:dyDescent="0.25">
      <c r="A15" s="102"/>
      <c r="B15" s="102"/>
      <c r="C15" s="102"/>
      <c r="D15" s="102"/>
    </row>
    <row r="16" spans="1:4" ht="21.75" customHeight="1" x14ac:dyDescent="0.25">
      <c r="A16" s="102"/>
      <c r="B16" s="102"/>
      <c r="C16" s="102"/>
      <c r="D16" s="102"/>
    </row>
    <row r="17" spans="1:4" ht="21.75" customHeight="1" x14ac:dyDescent="0.25">
      <c r="A17" s="102"/>
      <c r="B17" s="102"/>
      <c r="C17" s="102"/>
      <c r="D17" s="102"/>
    </row>
    <row r="18" spans="1:4" ht="21.75" customHeight="1" x14ac:dyDescent="0.25">
      <c r="A18" s="102"/>
      <c r="B18" s="102"/>
      <c r="C18" s="102"/>
      <c r="D18" s="102"/>
    </row>
    <row r="19" spans="1:4" ht="21.75" customHeight="1" x14ac:dyDescent="0.25">
      <c r="A19" s="102"/>
      <c r="B19" s="102"/>
      <c r="C19" s="102"/>
      <c r="D19" s="102"/>
    </row>
    <row r="20" spans="1:4" ht="21.75" customHeight="1" x14ac:dyDescent="0.25">
      <c r="A20" s="102"/>
      <c r="B20" s="102"/>
      <c r="C20" s="102"/>
      <c r="D20" s="102"/>
    </row>
    <row r="22" spans="1:4" x14ac:dyDescent="0.25">
      <c r="A22" s="106" t="s">
        <v>377</v>
      </c>
      <c r="B22" s="106"/>
      <c r="C22" s="106"/>
      <c r="D22" s="106"/>
    </row>
  </sheetData>
  <sheetProtection algorithmName="SHA-512" hashValue="jdVbeYVlzo3bkhT93IEYbPUDR8DyuLYoKSbG2Mou024tD2IUqiXILLmSppsKSFlxXHSitfPtzeS5NUAD7NrwRg==" saltValue="BnAFNLOssiPwkH9QpdhHYg==" spinCount="100000" sheet="1" formatCells="0" insertColumns="0" insertRows="0" deleteColumns="0" deleteRows="0" selectLockedCells="1"/>
  <mergeCells count="8">
    <mergeCell ref="A22:D22"/>
    <mergeCell ref="A1:D1"/>
    <mergeCell ref="A3:D3"/>
    <mergeCell ref="A5:D11"/>
    <mergeCell ref="A13:D13"/>
    <mergeCell ref="A15:D20"/>
    <mergeCell ref="A4:D4"/>
    <mergeCell ref="A14:D14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14</vt:i4>
      </vt:variant>
      <vt:variant>
        <vt:lpstr>Іменовані діапазони</vt:lpstr>
      </vt:variant>
      <vt:variant>
        <vt:i4>44</vt:i4>
      </vt:variant>
    </vt:vector>
  </HeadingPairs>
  <TitlesOfParts>
    <vt:vector size="58" baseType="lpstr">
      <vt:lpstr>00_Інструкція</vt:lpstr>
      <vt:lpstr>01_Господарство</vt:lpstr>
      <vt:lpstr>02_Опис_проєкту</vt:lpstr>
      <vt:lpstr>03_Кліматичний_ризик</vt:lpstr>
      <vt:lpstr>04_CAPEX</vt:lpstr>
      <vt:lpstr>05_Фінансування</vt:lpstr>
      <vt:lpstr>06_Порівняння</vt:lpstr>
      <vt:lpstr>07_Ризики</vt:lpstr>
      <vt:lpstr>08_Зелений_вплив</vt:lpstr>
      <vt:lpstr>09_Кредит</vt:lpstr>
      <vt:lpstr>10_Модель_5р</vt:lpstr>
      <vt:lpstr>11_KPI_Dashboard</vt:lpstr>
      <vt:lpstr>_Параметри</vt:lpstr>
      <vt:lpstr>_Довідники</vt:lpstr>
      <vt:lpstr>APPLICANT_EMAIL</vt:lpstr>
      <vt:lpstr>APPLICANT_ID</vt:lpstr>
      <vt:lpstr>CASH_FLOWS_Y1_Y5</vt:lpstr>
      <vt:lpstr>CREDIT_AMOUNT</vt:lpstr>
      <vt:lpstr>CREDIT_RATE</vt:lpstr>
      <vt:lpstr>CREDIT_TERM_M</vt:lpstr>
      <vt:lpstr>DEBT_SERVICE_ANNUAL</vt:lpstr>
      <vt:lpstr>DIRECT_COSTS_AFTER</vt:lpstr>
      <vt:lpstr>DIRECT_COSTS_BEFORE</vt:lpstr>
      <vt:lpstr>DISCOUNT_RATE</vt:lpstr>
      <vt:lpstr>EBITDA_Y1</vt:lpstr>
      <vt:lpstr>EQUIPMENT_COST</vt:lpstr>
      <vt:lpstr>EUR_RATE</vt:lpstr>
      <vt:lpstr>GRANT</vt:lpstr>
      <vt:lpstr>GRANT_RATE</vt:lpstr>
      <vt:lpstr>INCOME_PER_HA_AFTER</vt:lpstr>
      <vt:lpstr>INCOME_PER_HA_BEFORE</vt:lpstr>
      <vt:lpstr>INCOME_PER_HA_GAIN</vt:lpstr>
      <vt:lpstr>INFLATION</vt:lpstr>
      <vt:lpstr>INSURANCE_ANNUAL</vt:lpstr>
      <vt:lpstr>INSURANCE_RATE</vt:lpstr>
      <vt:lpstr>INTEREST_ANNUAL</vt:lpstr>
      <vt:lpstr>list_Activity</vt:lpstr>
      <vt:lpstr>list_CheckMark</vt:lpstr>
      <vt:lpstr>list_Crops</vt:lpstr>
      <vt:lpstr>list_ExportStatus</vt:lpstr>
      <vt:lpstr>list_Oblast</vt:lpstr>
      <vt:lpstr>list_PaymentTerms</vt:lpstr>
      <vt:lpstr>list_RiskLevel</vt:lpstr>
      <vt:lpstr>list_TechBlock</vt:lpstr>
      <vt:lpstr>list_YesNo</vt:lpstr>
      <vt:lpstr>list_YesNoPartial</vt:lpstr>
      <vt:lpstr>MAX_GRANT_EUR</vt:lpstr>
      <vt:lpstr>PARTNER_FUNDS</vt:lpstr>
      <vt:lpstr>PRINCIPAL_ANNUAL</vt:lpstr>
      <vt:lpstr>PROJECT_AREA_HA</vt:lpstr>
      <vt:lpstr>PROJECT_YEARS</vt:lpstr>
      <vt:lpstr>RISK_LOSSES_AFTER</vt:lpstr>
      <vt:lpstr>RISK_LOSSES_AVOIDED</vt:lpstr>
      <vt:lpstr>RISK_LOSSES_BEFORE</vt:lpstr>
      <vt:lpstr>TAX_RATE</vt:lpstr>
      <vt:lpstr>TOTAL_AREA_HA</vt:lpstr>
      <vt:lpstr>X_OWN</vt:lpstr>
      <vt:lpstr>Y_CAPEX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Vitalii Uliantsev</cp:lastModifiedBy>
  <cp:revision>0</cp:revision>
  <dcterms:created xsi:type="dcterms:W3CDTF">2026-05-12T11:28:27Z</dcterms:created>
  <dcterms:modified xsi:type="dcterms:W3CDTF">2026-05-29T08:43:23Z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5a072a-9387-41e6-8f47-26873d0f97e0_Enabled">
    <vt:lpwstr>true</vt:lpwstr>
  </property>
  <property fmtid="{D5CDD505-2E9C-101B-9397-08002B2CF9AE}" pid="3" name="MSIP_Label_915a072a-9387-41e6-8f47-26873d0f97e0_SetDate">
    <vt:lpwstr>2026-05-12T13:29:12Z</vt:lpwstr>
  </property>
  <property fmtid="{D5CDD505-2E9C-101B-9397-08002B2CF9AE}" pid="4" name="MSIP_Label_915a072a-9387-41e6-8f47-26873d0f97e0_Method">
    <vt:lpwstr>Standard</vt:lpwstr>
  </property>
  <property fmtid="{D5CDD505-2E9C-101B-9397-08002B2CF9AE}" pid="5" name="MSIP_Label_915a072a-9387-41e6-8f47-26873d0f97e0_Name">
    <vt:lpwstr>Public</vt:lpwstr>
  </property>
  <property fmtid="{D5CDD505-2E9C-101B-9397-08002B2CF9AE}" pid="6" name="MSIP_Label_915a072a-9387-41e6-8f47-26873d0f97e0_SiteId">
    <vt:lpwstr>fa97c399-f819-40a6-825a-fa25c516af8e</vt:lpwstr>
  </property>
  <property fmtid="{D5CDD505-2E9C-101B-9397-08002B2CF9AE}" pid="7" name="MSIP_Label_915a072a-9387-41e6-8f47-26873d0f97e0_ActionId">
    <vt:lpwstr>c087ed1c-1546-4fa8-bc74-c48abb3d09ef</vt:lpwstr>
  </property>
  <property fmtid="{D5CDD505-2E9C-101B-9397-08002B2CF9AE}" pid="8" name="MSIP_Label_915a072a-9387-41e6-8f47-26873d0f97e0_ContentBits">
    <vt:lpwstr>0</vt:lpwstr>
  </property>
  <property fmtid="{D5CDD505-2E9C-101B-9397-08002B2CF9AE}" pid="9" name="MSIP_Label_915a072a-9387-41e6-8f47-26873d0f97e0_Tag">
    <vt:lpwstr>10, 3, 0, 1</vt:lpwstr>
  </property>
</Properties>
</file>